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2022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B44" i="1" l="1"/>
  <c r="A56" i="1" l="1"/>
  <c r="I14" i="1"/>
  <c r="E14" i="1"/>
  <c r="C14" i="1"/>
  <c r="B47" i="1" l="1"/>
  <c r="B48" i="1"/>
  <c r="B46" i="1"/>
  <c r="B45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A16" i="1"/>
  <c r="A50" i="1"/>
  <c r="A46" i="1"/>
  <c r="A35" i="1"/>
  <c r="A32" i="1"/>
  <c r="A27" i="1"/>
  <c r="A22" i="1"/>
  <c r="A18" i="1"/>
  <c r="A15" i="1"/>
  <c r="A55" i="1"/>
  <c r="A51" i="1"/>
  <c r="U13" i="1"/>
  <c r="S13" i="1"/>
  <c r="Q13" i="1"/>
  <c r="O13" i="1"/>
  <c r="M13" i="1"/>
  <c r="K13" i="1"/>
  <c r="I13" i="1"/>
  <c r="G13" i="1"/>
  <c r="E13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H14" i="1"/>
  <c r="G14" i="1"/>
  <c r="F14" i="1"/>
  <c r="D14" i="1"/>
  <c r="C13" i="1"/>
  <c r="A10" i="1"/>
  <c r="A9" i="1"/>
  <c r="A7" i="1"/>
  <c r="A52" i="1" l="1"/>
  <c r="A53" i="1"/>
</calcChain>
</file>

<file path=xl/sharedStrings.xml><?xml version="1.0" encoding="utf-8"?>
<sst xmlns="http://schemas.openxmlformats.org/spreadsheetml/2006/main" count="514" uniqueCount="247">
  <si>
    <t>Total</t>
  </si>
  <si>
    <t>Geschlecht</t>
  </si>
  <si>
    <t>Männer</t>
  </si>
  <si>
    <t>Frauen</t>
  </si>
  <si>
    <t>Alter</t>
  </si>
  <si>
    <t>15-24</t>
  </si>
  <si>
    <t>25-44</t>
  </si>
  <si>
    <t>45-64</t>
  </si>
  <si>
    <t>65 und mehr</t>
  </si>
  <si>
    <t>Staatsangehörigkeit</t>
  </si>
  <si>
    <t>Schweiz</t>
  </si>
  <si>
    <t>Anderer europäischer Staat</t>
  </si>
  <si>
    <t>Aussereuropäischer Staat</t>
  </si>
  <si>
    <t>Migrationsstatus</t>
  </si>
  <si>
    <t>Schweizer/innen ohne Migrationshintergrund</t>
  </si>
  <si>
    <t>Schweizer/innen mit Migrationshintergrund</t>
  </si>
  <si>
    <t>Ausländer/innen der ersten Generation</t>
  </si>
  <si>
    <t>Ausländer/innen der zweiten und höheren Generation</t>
  </si>
  <si>
    <t>Migrationshintergrund unbekannt</t>
  </si>
  <si>
    <t>Arbeitsmarktstatus</t>
  </si>
  <si>
    <t>Erwerbstätige</t>
  </si>
  <si>
    <t>Erwerbslose</t>
  </si>
  <si>
    <t>Nichterwerbspersonen</t>
  </si>
  <si>
    <t>Oberstes Management</t>
  </si>
  <si>
    <t>Freie und gleichgestellte Berufe</t>
  </si>
  <si>
    <t>Andere Selbstständige</t>
  </si>
  <si>
    <t>Akademische Berufe und oberes Kader</t>
  </si>
  <si>
    <t>Intermediäre Berufe</t>
  </si>
  <si>
    <t>Qualifizierte nichtmanuelle Berufe</t>
  </si>
  <si>
    <t>Qualifizierte manuelle Berufe</t>
  </si>
  <si>
    <t>Lernende in dualer beruflicher Grundbildung (Lehrlinge)</t>
  </si>
  <si>
    <t>Erwerbslose und Nichterwerbspersonen</t>
  </si>
  <si>
    <t>Tertiärstufe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</si>
  <si>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</si>
  <si>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</si>
  <si>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</si>
  <si>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</si>
  <si>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Quelle: BFS (Strukturerhebung)</t>
  </si>
  <si>
    <t>Staatsangehörigkeit unbekannt</t>
  </si>
  <si>
    <t>Sekundarstufe II</t>
  </si>
  <si>
    <t>Römisch-katholisch</t>
  </si>
  <si>
    <t>Evangelisch-reformiert</t>
  </si>
  <si>
    <t>Andere christliche Glaubensgemeinschaften</t>
  </si>
  <si>
    <t>Islamische Glaubensgemeinschaften</t>
  </si>
  <si>
    <t>Christkatholisch (altkatholisch)</t>
  </si>
  <si>
    <t>Jüdische Glaubensgemeinschaften</t>
  </si>
  <si>
    <t>Andere Religionsgemeinschaften</t>
  </si>
  <si>
    <t>Ohne Religionszugehörigkeit</t>
  </si>
  <si>
    <t>Religionszugehörigkeit unbekannt</t>
  </si>
  <si>
    <t>EU und EFTA</t>
  </si>
  <si>
    <t>Sozioprofessionelle Kategorien</t>
  </si>
  <si>
    <t>Ungelernte Angestellte und Arbeiter/innen</t>
  </si>
  <si>
    <t>Nicht zuteilbare Erwerbstätige (fehlende oder unklare Basisdaten)</t>
  </si>
  <si>
    <t>Höchste abgeschlossene Ausbildung</t>
  </si>
  <si>
    <t>Ohne nachobligatorische Ausbildung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</si>
  <si>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</si>
  <si>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</si>
  <si>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</si>
  <si>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</si>
  <si>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</si>
  <si>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</si>
  <si>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</si>
  <si>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</si>
  <si>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</si>
  <si>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</si>
  <si>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</si>
  <si>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</si>
  <si>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</si>
  <si>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Ständige schweizerische Wohnbevölkerung ab 15 Jahren</t>
  </si>
  <si>
    <t>Populaziun residenta permanenta da la Svizra a partir da 15 onns</t>
  </si>
  <si>
    <t>Popolazione residente permanente svizzera di 15 anni e più</t>
  </si>
  <si>
    <t>T1-2</t>
  </si>
  <si>
    <t>&lt;SpaltenTitel_1&gt;</t>
  </si>
  <si>
    <t>Totale</t>
  </si>
  <si>
    <t>&lt;SpaltenTitel_2&gt;</t>
  </si>
  <si>
    <t>Evangelic-refurmà</t>
  </si>
  <si>
    <t>Protestante</t>
  </si>
  <si>
    <t>&lt;SpaltenTitel_3&gt;</t>
  </si>
  <si>
    <t>Catolic-roman</t>
  </si>
  <si>
    <t>Cattolico romano</t>
  </si>
  <si>
    <t>&lt;SpaltenTitel_4&gt;</t>
  </si>
  <si>
    <t>Autras cuminanzas cristianas da cardientscha</t>
  </si>
  <si>
    <t>Altre comunità cristiane</t>
  </si>
  <si>
    <t>&lt;SpaltenTitel_5&gt;</t>
  </si>
  <si>
    <t>Cuminanzas da cardientscha giudaicas</t>
  </si>
  <si>
    <t>Comunità di confessione ebraica</t>
  </si>
  <si>
    <t>&lt;SpaltenTitel_6&gt;</t>
  </si>
  <si>
    <t>Cuminanzas da cardientscha islamicas</t>
  </si>
  <si>
    <t>Comunità islamiche</t>
  </si>
  <si>
    <t>&lt;SpaltenTitel_7&gt;</t>
  </si>
  <si>
    <t>Autras cuminanzas religiusas</t>
  </si>
  <si>
    <t>Altre chiese e comunità religiose</t>
  </si>
  <si>
    <t>&lt;SpaltenTitel_8&gt;</t>
  </si>
  <si>
    <t>Senza appartegnientscha religiusa</t>
  </si>
  <si>
    <t>&lt;SpaltenTitel_9&gt;</t>
  </si>
  <si>
    <t>L'appartegnientscha religiusa n'è betg enconuschenta</t>
  </si>
  <si>
    <t>Appartenenza religiosa sconosciuta</t>
  </si>
  <si>
    <t>Anzahl Personen</t>
  </si>
  <si>
    <t>Dumber da persunas</t>
  </si>
  <si>
    <t>Numero di persone</t>
  </si>
  <si>
    <t>Vertrauens- intervall:          ± (in %)</t>
  </si>
  <si>
    <t>Interval da confidenza:          ± (en %)</t>
  </si>
  <si>
    <t>Intervallo di confidenza:          ± (in %)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</si>
  <si>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</si>
  <si>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</si>
  <si>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</si>
  <si>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</si>
  <si>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</si>
  <si>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</si>
  <si>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</si>
  <si>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</si>
  <si>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</si>
  <si>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</si>
  <si>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</si>
  <si>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</si>
  <si>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(): Extrapolaziun sin basa da 49 u damain observaziuns. Ils resultats ston vegnir interpretads cun gronda precauziun.</t>
  </si>
  <si>
    <t>(): Estrapolazione basata su meno di 50 osservazioni. I risultati sono da interpretare con molta precauzione.</t>
  </si>
  <si>
    <t>&lt;Legende_5&gt;</t>
  </si>
  <si>
    <t>X : Estrapolazione basata su meno di 5 osservazioni. I risultati non sono pubblicati per ragioni legate alla protezione dei dati.</t>
  </si>
  <si>
    <t>&lt;Quelle_1&gt;</t>
  </si>
  <si>
    <t>Funtauna: UST (enquista da structura)</t>
  </si>
  <si>
    <t>&lt;Aktualisierung&gt;</t>
  </si>
  <si>
    <t>&lt;SpaltenTitel_1.1&gt;</t>
  </si>
  <si>
    <t>&lt;SpaltenTitel_1.2&gt;</t>
  </si>
  <si>
    <t>&lt;SpaltenTitel_10&gt;</t>
  </si>
  <si>
    <t>L'universo di base della rilevazione strutturale comprende tutte le persone facenti parte della popolazione residente permanente di 15 anni e più che vivono in un'economia domestica.</t>
  </si>
  <si>
    <t>Sono esclusi diplomatici, i funzionari internazionali ed i loro familiari e le persone che vivono in una collettività.</t>
  </si>
  <si>
    <t>X: Extrapolaziun pervia da 4 u damain observaziuns. Per motivs da la protecziun da datas na vegnan ils resultats betg publitgads.</t>
  </si>
  <si>
    <t>La survista da basa da l'enquista da structura cumpiglia tut las persunas da la populaziun residenta permanenta a partir da 15 onns che vivan en chasadas privatas.</t>
  </si>
  <si>
    <t>Exclus da la totalitad fundamentala èn vegnids ultra da las persunas che vivan en chasadas collectivas er diplomats, funcziunaris internaziunals e lur confamigliars.</t>
  </si>
  <si>
    <t>Sesso</t>
  </si>
  <si>
    <t>Età</t>
  </si>
  <si>
    <t>Cittadinanza</t>
  </si>
  <si>
    <t>Passato migratorio</t>
  </si>
  <si>
    <t>Posizione nel mercato del lavoro</t>
  </si>
  <si>
    <t>Categorie socio-professionali</t>
  </si>
  <si>
    <t>Categorias socioprofessiunalas</t>
  </si>
  <si>
    <t>Schlattaina</t>
  </si>
  <si>
    <t>Vegliandrament</t>
  </si>
  <si>
    <t>Naziunalitad</t>
  </si>
  <si>
    <t>Status da migraziun</t>
  </si>
  <si>
    <t>Status dal martgà da lavur</t>
  </si>
  <si>
    <t>Formazione più elevata conclusa</t>
  </si>
  <si>
    <t>La pli auta scolaziun terminada</t>
  </si>
  <si>
    <t>&lt;Zeilentitel_2.1&gt;</t>
  </si>
  <si>
    <t>&lt;Zeilentitel_2.2&gt;</t>
  </si>
  <si>
    <t>&lt;Zeilentitel_3.1&gt;</t>
  </si>
  <si>
    <t>&lt;Zeilentitel_3.2&gt;</t>
  </si>
  <si>
    <t>&lt;Zeilentitel_3.3&gt;</t>
  </si>
  <si>
    <t>&lt;Zeilentitel_3.4&gt;</t>
  </si>
  <si>
    <t>&lt;Zeilentitel_4.1&gt;</t>
  </si>
  <si>
    <t>&lt;Zeilentitel_4.2&gt;</t>
  </si>
  <si>
    <t>&lt;Zeilentitel_4.3&gt;</t>
  </si>
  <si>
    <t>&lt;Zeilentitel_4.4&gt;</t>
  </si>
  <si>
    <t>&lt;Zeilentitel_4.5&gt;</t>
  </si>
  <si>
    <t>&lt;Zeilentitel_5.1&gt;</t>
  </si>
  <si>
    <t>&lt;Zeilentitel_5.2&gt;</t>
  </si>
  <si>
    <t>&lt;Zeilentitel_5.3&gt;</t>
  </si>
  <si>
    <t>&lt;Zeilentitel_5.4&gt;</t>
  </si>
  <si>
    <t>&lt;Zeilentitel_5.5&gt;</t>
  </si>
  <si>
    <t>&lt;Zeilentitel_6.1&gt;</t>
  </si>
  <si>
    <t>&lt;Zeilentitel_6.2&gt;</t>
  </si>
  <si>
    <t>&lt;Zeilentitel_6.3&gt;</t>
  </si>
  <si>
    <t>&lt;Zeilentitel_7.1&gt;</t>
  </si>
  <si>
    <t>&lt;Zeilentitel_7.2&gt;</t>
  </si>
  <si>
    <t>&lt;Zeilentitel_7.3&gt;</t>
  </si>
  <si>
    <t>&lt;Zeilentitel_7.4&gt;</t>
  </si>
  <si>
    <t>&lt;Zeilentitel_7.5&gt;</t>
  </si>
  <si>
    <t>&lt;Zeilentitel_7.6&gt;</t>
  </si>
  <si>
    <t>&lt;Zeilentitel_7.7&gt;</t>
  </si>
  <si>
    <t>&lt;Zeilentitel_7.8&gt;</t>
  </si>
  <si>
    <t>&lt;Zeilentitel_7.9&gt;</t>
  </si>
  <si>
    <t>&lt;Zeilentitel_7.11&gt;</t>
  </si>
  <si>
    <t>&lt;Zeilentitel_8.1&gt;</t>
  </si>
  <si>
    <t>&lt;Zeilentitel_8.2&gt;</t>
  </si>
  <si>
    <t>&lt;Zeilentitel_8.3&gt;</t>
  </si>
  <si>
    <t>65 e dapli</t>
  </si>
  <si>
    <t>Svizra</t>
  </si>
  <si>
    <t>UE ed AECL</t>
  </si>
  <si>
    <t>In auter pajais europeic</t>
  </si>
  <si>
    <t>stadi ordaifer l'Europa</t>
  </si>
  <si>
    <t>naziunalitad n'è betg enconuschenta</t>
  </si>
  <si>
    <t>Svizzers senza retroterra da migraziun</t>
  </si>
  <si>
    <t>Svizzers cun ina migraziun</t>
  </si>
  <si>
    <t>Persunas estras da l'emprima generaziun</t>
  </si>
  <si>
    <t>Persunas estras da la segunda generaziun e da l'emprima</t>
  </si>
  <si>
    <t>La migraziun n'è betg enconuschenta</t>
  </si>
  <si>
    <t>Professiuns libras ed egualas</t>
  </si>
  <si>
    <t>Autras persunas independentas</t>
  </si>
  <si>
    <t>Professiuns academicas e cader superiur</t>
  </si>
  <si>
    <t>Professiuns betg manualas qualifitgadas</t>
  </si>
  <si>
    <t>Professiuns manualas qualifitgadas</t>
  </si>
  <si>
    <t>Emploiadas e lavurants betg emprendids</t>
  </si>
  <si>
    <t>Emprendistas ed emprendists en ina furmaziun fundamentala professiunala dubla (emprendists)</t>
  </si>
  <si>
    <t>Persunas cun activitad da gudogn che na pon betg vegnir attribuidas (datas da basa mancantas u betg cleras)</t>
  </si>
  <si>
    <t>Senza scolaziun postobligatorica</t>
  </si>
  <si>
    <t>Uomini</t>
  </si>
  <si>
    <t>Donne</t>
  </si>
  <si>
    <t>65 e più</t>
  </si>
  <si>
    <t>Svizzera</t>
  </si>
  <si>
    <t>UE e AELS</t>
  </si>
  <si>
    <t>Altro paese europeo</t>
  </si>
  <si>
    <t>Paese extraeuropeo</t>
  </si>
  <si>
    <t>Cittadinanza sconosciuta</t>
  </si>
  <si>
    <t>Svizzeri/e senza un passato migratorio</t>
  </si>
  <si>
    <t>Svizzeri/e con un passato migratorio</t>
  </si>
  <si>
    <t>Stranieri/e di prima generazione</t>
  </si>
  <si>
    <t>Stranieri/e di seconda generazione e più</t>
  </si>
  <si>
    <t>Passato migratorio sconosciuto</t>
  </si>
  <si>
    <t>Occupati</t>
  </si>
  <si>
    <t>Disoccupati</t>
  </si>
  <si>
    <t>Persone senza attività professionale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</si>
  <si>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</si>
  <si>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</si>
  <si>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</si>
  <si>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</si>
  <si>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</si>
  <si>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</si>
  <si>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</si>
  <si>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</si>
  <si>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</si>
  <si>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</si>
  <si>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</si>
  <si>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</si>
  <si>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</si>
  <si>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</si>
  <si>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Cattolico cristiano (vecchio-cattolico)</t>
  </si>
  <si>
    <t>Nessuna appartenenza religiosa</t>
  </si>
  <si>
    <t>Cristian-catolic (vegl catolic)</t>
  </si>
  <si>
    <t>Umens</t>
  </si>
  <si>
    <t>Dunnas</t>
  </si>
  <si>
    <t>Persunas cun activitad da gudogn</t>
  </si>
  <si>
    <t>Persunas senza activitad da gudogn</t>
  </si>
  <si>
    <t>Management suprem</t>
  </si>
  <si>
    <t>Professiuns intermediaras</t>
  </si>
  <si>
    <t>Persunas senza activitad da gudogn e persunas senza activitad da gudogn</t>
  </si>
  <si>
    <t>Stgalim secundar II</t>
  </si>
  <si>
    <t>Stgalim terziar</t>
  </si>
  <si>
    <t>Fonte: UST (Rilevazione strutturale)</t>
  </si>
  <si>
    <r>
      <t>Religionszugehörigkeit</t>
    </r>
    <r>
      <rPr>
        <sz val="9"/>
        <rFont val="Arial"/>
        <family val="2"/>
      </rPr>
      <t xml:space="preserve"> im Kanton Graubünden</t>
    </r>
  </si>
  <si>
    <t>Appartegnientscha religiusa en il chantun Grischun</t>
  </si>
  <si>
    <t>Appartenenza religiosa nel Cantone dei Grigioni</t>
  </si>
  <si>
    <t>&lt;Zeilentitel_7.10&gt;</t>
  </si>
  <si>
    <t>Letztmals aktualisiert am: 26.01.2024</t>
  </si>
  <si>
    <t>Ultima actualisaziun: 26.01.2024</t>
  </si>
  <si>
    <t>Ulimo aggiornamento: 26.01.2024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</si>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</sst>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_ ;\-#,##0\ "/>
    <numFmt numFmtId="167" formatCode="0.0"/>
    <numFmt numFmtId="168" formatCode="\(0.0\)"/>
    <numFmt numFmtId="169" formatCode="_-* #,##0.00\ _€_-;\-* #,##0.00\ _€_-;_-* &quot;-&quot;??\ _€_-;_-@_-"/>
    <numFmt numFmtId="170" formatCode="* #,###"/>
    <numFmt numFmtId="171" formatCode="\(0\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3" applyFont="1" applyFill="1" applyAlignment="1">
      <alignment horizontal="left" vertical="top"/>
    </xf>
    <xf numFmtId="164" fontId="7" fillId="2" borderId="0" xfId="4" applyNumberFormat="1" applyFont="1" applyFill="1" applyBorder="1" applyAlignment="1" applyProtection="1">
      <alignment horizontal="left" vertical="top"/>
    </xf>
    <xf numFmtId="0" fontId="8" fillId="2" borderId="0" xfId="3" applyFont="1" applyFill="1" applyAlignment="1">
      <alignment horizontal="right" vertical="center"/>
    </xf>
    <xf numFmtId="0" fontId="2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3" fontId="3" fillId="2" borderId="0" xfId="1" applyNumberFormat="1" applyFont="1" applyFill="1" applyBorder="1" applyAlignment="1" applyProtection="1">
      <alignment horizontal="right" wrapText="1"/>
    </xf>
    <xf numFmtId="165" fontId="3" fillId="2" borderId="0" xfId="2" applyNumberFormat="1" applyFont="1" applyFill="1" applyBorder="1" applyAlignment="1" applyProtection="1">
      <alignment horizontal="right" wrapText="1"/>
    </xf>
    <xf numFmtId="166" fontId="3" fillId="2" borderId="0" xfId="1" applyNumberFormat="1" applyFont="1" applyFill="1" applyBorder="1" applyAlignment="1" applyProtection="1">
      <alignment horizontal="right" wrapText="1"/>
    </xf>
    <xf numFmtId="165" fontId="3" fillId="2" borderId="0" xfId="1" applyNumberFormat="1" applyFont="1" applyFill="1" applyBorder="1" applyAlignment="1" applyProtection="1">
      <alignment horizontal="right" wrapText="1"/>
    </xf>
    <xf numFmtId="0" fontId="10" fillId="4" borderId="0" xfId="0" applyFont="1" applyFill="1" applyAlignment="1">
      <alignment horizontal="left" vertical="top"/>
    </xf>
    <xf numFmtId="0" fontId="9" fillId="2" borderId="3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7" xfId="0" applyFont="1" applyFill="1" applyBorder="1" applyAlignment="1">
      <alignment vertical="top"/>
    </xf>
    <xf numFmtId="0" fontId="10" fillId="4" borderId="0" xfId="0" applyFont="1" applyFill="1" applyAlignment="1">
      <alignment vertical="top"/>
    </xf>
    <xf numFmtId="0" fontId="10" fillId="4" borderId="7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/>
    </xf>
    <xf numFmtId="170" fontId="11" fillId="2" borderId="8" xfId="6" applyNumberFormat="1" applyFont="1" applyFill="1" applyBorder="1" applyAlignment="1" applyProtection="1">
      <alignment horizontal="right" vertical="center" wrapText="1"/>
    </xf>
    <xf numFmtId="167" fontId="11" fillId="2" borderId="7" xfId="6" applyNumberFormat="1" applyFont="1" applyFill="1" applyBorder="1" applyAlignment="1" applyProtection="1">
      <alignment horizontal="right" vertical="center" wrapText="1"/>
    </xf>
    <xf numFmtId="167" fontId="11" fillId="2" borderId="7" xfId="1" applyNumberFormat="1" applyFont="1" applyFill="1" applyBorder="1" applyAlignment="1" applyProtection="1">
      <alignment horizontal="right" vertical="center" wrapText="1"/>
    </xf>
    <xf numFmtId="170" fontId="11" fillId="2" borderId="7" xfId="6" applyNumberFormat="1" applyFont="1" applyFill="1" applyBorder="1" applyAlignment="1" applyProtection="1">
      <alignment horizontal="right" vertical="center" wrapText="1"/>
    </xf>
    <xf numFmtId="168" fontId="11" fillId="2" borderId="7" xfId="6" applyNumberFormat="1" applyFont="1" applyFill="1" applyBorder="1" applyAlignment="1" applyProtection="1">
      <alignment horizontal="right" vertical="center" wrapText="1"/>
    </xf>
    <xf numFmtId="3" fontId="3" fillId="2" borderId="18" xfId="6" applyNumberFormat="1" applyFont="1" applyFill="1" applyBorder="1" applyAlignment="1" applyProtection="1">
      <alignment horizontal="right" vertical="center" wrapText="1"/>
    </xf>
    <xf numFmtId="167" fontId="3" fillId="2" borderId="0" xfId="6" applyNumberFormat="1" applyFont="1" applyFill="1" applyBorder="1" applyAlignment="1" applyProtection="1">
      <alignment horizontal="right" vertical="center" wrapText="1"/>
    </xf>
    <xf numFmtId="167" fontId="3" fillId="2" borderId="0" xfId="1" applyNumberFormat="1" applyFont="1" applyFill="1" applyBorder="1" applyAlignment="1" applyProtection="1">
      <alignment horizontal="right" vertical="center" wrapText="1"/>
    </xf>
    <xf numFmtId="3" fontId="3" fillId="2" borderId="0" xfId="6" applyNumberFormat="1" applyFont="1" applyFill="1" applyBorder="1" applyAlignment="1" applyProtection="1">
      <alignment horizontal="right" vertical="center" wrapText="1"/>
    </xf>
    <xf numFmtId="171" fontId="3" fillId="2" borderId="0" xfId="6" applyNumberFormat="1" applyFont="1" applyFill="1" applyBorder="1" applyAlignment="1" applyProtection="1">
      <alignment horizontal="right" vertical="center" wrapText="1"/>
    </xf>
    <xf numFmtId="168" fontId="3" fillId="2" borderId="0" xfId="6" applyNumberFormat="1" applyFont="1" applyFill="1" applyBorder="1" applyAlignment="1" applyProtection="1">
      <alignment horizontal="right" vertical="center" wrapText="1"/>
    </xf>
    <xf numFmtId="171" fontId="3" fillId="2" borderId="18" xfId="6" applyNumberFormat="1" applyFont="1" applyFill="1" applyBorder="1" applyAlignment="1" applyProtection="1">
      <alignment horizontal="right" vertical="center" wrapText="1"/>
    </xf>
    <xf numFmtId="168" fontId="3" fillId="2" borderId="0" xfId="1" applyNumberFormat="1" applyFont="1" applyFill="1" applyBorder="1" applyAlignment="1" applyProtection="1">
      <alignment horizontal="right" vertical="center" wrapText="1"/>
    </xf>
    <xf numFmtId="3" fontId="3" fillId="2" borderId="19" xfId="6" applyNumberFormat="1" applyFont="1" applyFill="1" applyBorder="1" applyAlignment="1" applyProtection="1">
      <alignment horizontal="right" vertical="center" wrapText="1"/>
    </xf>
    <xf numFmtId="167" fontId="3" fillId="2" borderId="2" xfId="6" applyNumberFormat="1" applyFont="1" applyFill="1" applyBorder="1" applyAlignment="1" applyProtection="1">
      <alignment horizontal="right" vertical="center" wrapText="1"/>
    </xf>
    <xf numFmtId="167" fontId="3" fillId="2" borderId="2" xfId="1" applyNumberFormat="1" applyFont="1" applyFill="1" applyBorder="1" applyAlignment="1" applyProtection="1">
      <alignment horizontal="right" vertical="center" wrapText="1"/>
    </xf>
    <xf numFmtId="3" fontId="3" fillId="2" borderId="2" xfId="6" applyNumberFormat="1" applyFont="1" applyFill="1" applyBorder="1" applyAlignment="1" applyProtection="1">
      <alignment horizontal="right" vertical="center" wrapText="1"/>
    </xf>
    <xf numFmtId="171" fontId="3" fillId="2" borderId="2" xfId="6" applyNumberFormat="1" applyFont="1" applyFill="1" applyBorder="1" applyAlignment="1" applyProtection="1">
      <alignment horizontal="right" vertical="center" wrapText="1"/>
    </xf>
    <xf numFmtId="168" fontId="3" fillId="2" borderId="2" xfId="6" applyNumberFormat="1" applyFont="1" applyFill="1" applyBorder="1" applyAlignment="1" applyProtection="1">
      <alignment horizontal="right" vertical="center" wrapText="1"/>
    </xf>
    <xf numFmtId="167" fontId="11" fillId="2" borderId="9" xfId="6" applyNumberFormat="1" applyFont="1" applyFill="1" applyBorder="1" applyAlignment="1" applyProtection="1">
      <alignment horizontal="right" vertical="center" wrapText="1"/>
    </xf>
    <xf numFmtId="170" fontId="11" fillId="2" borderId="10" xfId="1" applyNumberFormat="1" applyFont="1" applyFill="1" applyBorder="1" applyAlignment="1" applyProtection="1">
      <alignment horizontal="right" vertical="center" wrapText="1"/>
    </xf>
    <xf numFmtId="167" fontId="3" fillId="2" borderId="12" xfId="6" applyNumberFormat="1" applyFont="1" applyFill="1" applyBorder="1" applyAlignment="1" applyProtection="1">
      <alignment horizontal="right" vertical="center" wrapText="1"/>
    </xf>
    <xf numFmtId="3" fontId="3" fillId="2" borderId="11" xfId="1" applyNumberFormat="1" applyFont="1" applyFill="1" applyBorder="1" applyAlignment="1" applyProtection="1">
      <alignment horizontal="right" vertical="center" wrapText="1"/>
    </xf>
    <xf numFmtId="168" fontId="3" fillId="2" borderId="12" xfId="6" applyNumberFormat="1" applyFont="1" applyFill="1" applyBorder="1" applyAlignment="1" applyProtection="1">
      <alignment horizontal="right" vertical="center" wrapText="1"/>
    </xf>
    <xf numFmtId="171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4" xfId="6" applyNumberFormat="1" applyFont="1" applyFill="1" applyBorder="1" applyAlignment="1" applyProtection="1">
      <alignment horizontal="right" vertical="center" wrapText="1"/>
    </xf>
    <xf numFmtId="3" fontId="3" fillId="2" borderId="13" xfId="1" applyNumberFormat="1" applyFont="1" applyFill="1" applyBorder="1" applyAlignment="1" applyProtection="1">
      <alignment horizontal="right" vertical="center" wrapText="1"/>
    </xf>
    <xf numFmtId="170" fontId="11" fillId="2" borderId="10" xfId="6" applyNumberFormat="1" applyFont="1" applyFill="1" applyBorder="1" applyAlignment="1" applyProtection="1">
      <alignment horizontal="right" vertical="center" wrapText="1"/>
    </xf>
    <xf numFmtId="3" fontId="3" fillId="2" borderId="11" xfId="6" applyNumberFormat="1" applyFont="1" applyFill="1" applyBorder="1" applyAlignment="1" applyProtection="1">
      <alignment horizontal="right" vertical="center" wrapText="1"/>
    </xf>
    <xf numFmtId="171" fontId="3" fillId="2" borderId="11" xfId="6" applyNumberFormat="1" applyFont="1" applyFill="1" applyBorder="1" applyAlignment="1" applyProtection="1">
      <alignment horizontal="right" vertical="center" wrapText="1"/>
    </xf>
    <xf numFmtId="3" fontId="3" fillId="2" borderId="13" xfId="6" applyNumberFormat="1" applyFont="1" applyFill="1" applyBorder="1" applyAlignment="1" applyProtection="1">
      <alignment horizontal="right" vertical="center" wrapText="1"/>
    </xf>
    <xf numFmtId="171" fontId="11" fillId="2" borderId="10" xfId="6" applyNumberFormat="1" applyFont="1" applyFill="1" applyBorder="1" applyAlignment="1" applyProtection="1">
      <alignment horizontal="right" vertical="center" wrapText="1"/>
    </xf>
    <xf numFmtId="168" fontId="3" fillId="2" borderId="14" xfId="6" applyNumberFormat="1" applyFont="1" applyFill="1" applyBorder="1" applyAlignment="1" applyProtection="1">
      <alignment horizontal="right" vertical="center" wrapText="1"/>
    </xf>
    <xf numFmtId="171" fontId="3" fillId="2" borderId="13" xfId="6" applyNumberFormat="1" applyFont="1" applyFill="1" applyBorder="1" applyAlignment="1" applyProtection="1">
      <alignment horizontal="right" vertical="center" wrapText="1"/>
    </xf>
    <xf numFmtId="168" fontId="11" fillId="2" borderId="15" xfId="6" applyNumberFormat="1" applyFont="1" applyFill="1" applyBorder="1" applyAlignment="1" applyProtection="1">
      <alignment horizontal="right" vertical="center" wrapText="1"/>
    </xf>
    <xf numFmtId="168" fontId="3" fillId="2" borderId="16" xfId="6" applyNumberFormat="1" applyFont="1" applyFill="1" applyBorder="1" applyAlignment="1" applyProtection="1">
      <alignment horizontal="right" vertical="center" wrapText="1"/>
    </xf>
    <xf numFmtId="167" fontId="3" fillId="2" borderId="16" xfId="6" applyNumberFormat="1" applyFont="1" applyFill="1" applyBorder="1" applyAlignment="1" applyProtection="1">
      <alignment horizontal="right" vertical="center" wrapText="1"/>
    </xf>
    <xf numFmtId="168" fontId="3" fillId="2" borderId="17" xfId="6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3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4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 applyProtection="1">
      <alignment horizontal="left" vertical="top"/>
      <protection locked="0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0" fillId="2" borderId="23" xfId="1" applyNumberFormat="1" applyFont="1" applyFill="1" applyBorder="1" applyAlignment="1" applyProtection="1">
      <alignment horizontal="right" vertical="top" wrapText="1"/>
    </xf>
    <xf numFmtId="0" fontId="10" fillId="2" borderId="24" xfId="2" applyNumberFormat="1" applyFont="1" applyFill="1" applyBorder="1" applyAlignment="1" applyProtection="1">
      <alignment horizontal="right" vertical="top" wrapText="1"/>
    </xf>
    <xf numFmtId="0" fontId="10" fillId="2" borderId="25" xfId="1" applyNumberFormat="1" applyFont="1" applyFill="1" applyBorder="1" applyAlignment="1" applyProtection="1">
      <alignment horizontal="right" vertical="top" wrapText="1"/>
    </xf>
    <xf numFmtId="0" fontId="10" fillId="2" borderId="26" xfId="2" applyNumberFormat="1" applyFont="1" applyFill="1" applyBorder="1" applyAlignment="1" applyProtection="1">
      <alignment horizontal="right" vertical="top" wrapText="1"/>
    </xf>
    <xf numFmtId="0" fontId="10" fillId="2" borderId="27" xfId="1" applyNumberFormat="1" applyFont="1" applyFill="1" applyBorder="1" applyAlignment="1" applyProtection="1">
      <alignment horizontal="right" vertical="top" wrapText="1"/>
    </xf>
    <xf numFmtId="0" fontId="10" fillId="2" borderId="12" xfId="2" applyNumberFormat="1" applyFont="1" applyFill="1" applyBorder="1" applyAlignment="1" applyProtection="1">
      <alignment horizontal="right" vertical="top" wrapText="1"/>
    </xf>
    <xf numFmtId="0" fontId="10" fillId="2" borderId="28" xfId="2" applyNumberFormat="1" applyFont="1" applyFill="1" applyBorder="1" applyAlignment="1" applyProtection="1">
      <alignment horizontal="right" vertical="top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</cellXfs>
  <cellStyles count="7">
    <cellStyle name="Komma" xfId="1" builtinId="3"/>
    <cellStyle name="Komma 2" xfId="4"/>
    <cellStyle name="Komma 3" xfId="6"/>
    <cellStyle name="Prozent" xfId="2" builtinId="5"/>
    <cellStyle name="Prozent 2" xf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9525</xdr:rowOff>
    </xdr:from>
    <xdr:to>
      <xdr:col>6</xdr:col>
      <xdr:colOff>181589</xdr:colOff>
      <xdr:row>4</xdr:row>
      <xdr:rowOff>135998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000625" y="9525"/>
          <a:ext cx="2496164" cy="888473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5" name="Gruppieren 4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pSpPr/>
            </xdr:nvGrpSpPr>
            <xdr:grpSpPr>
              <a:xfrm>
                <a:off x="6553200" y="374273"/>
                <a:ext cx="1200150" cy="533405"/>
                <a:chOff x="6553200" y="374273"/>
                <a:chExt cx="1200150" cy="533405"/>
              </a:xfrm>
              <a:grpFill/>
            </xdr:grpSpPr>
            <xdr:sp macro="" textlink="">
              <xdr:nvSpPr>
                <xdr:cNvPr id="1025" name="Option Button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01040000}"/>
                    </a:ext>
                  </a:extLst>
                </xdr:cNvPr>
                <xdr:cNvSpPr/>
              </xdr:nvSpPr>
              <xdr:spPr bwMode="auto">
                <a:xfrm>
                  <a:off x="6553200" y="374273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1026" name="Option Button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02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5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1027" name="Option Button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03040000}"/>
                    </a:ext>
                  </a:extLst>
                </xdr:cNvPr>
                <xdr:cNvSpPr/>
              </xdr:nvSpPr>
              <xdr:spPr bwMode="auto">
                <a:xfrm>
                  <a:off x="6553200" y="698127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549275</xdr:colOff>
      <xdr:row>5</xdr:row>
      <xdr:rowOff>4202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6"/>
  <sheetViews>
    <sheetView tabSelected="1" workbookViewId="0"/>
  </sheetViews>
  <sheetFormatPr baseColWidth="10" defaultRowHeight="12.75" x14ac:dyDescent="0.2"/>
  <cols>
    <col min="1" max="1" width="19.85546875" style="1" customWidth="1"/>
    <col min="2" max="2" width="46.42578125" style="1" customWidth="1"/>
    <col min="3" max="3" width="9.5703125" style="1" bestFit="1" customWidth="1"/>
    <col min="4" max="4" width="11.5703125" style="1" customWidth="1"/>
    <col min="5" max="5" width="10.42578125" style="1" bestFit="1" customWidth="1"/>
    <col min="6" max="6" width="11.85546875" style="1" bestFit="1" customWidth="1"/>
    <col min="7" max="7" width="10.42578125" style="1" bestFit="1" customWidth="1"/>
    <col min="8" max="8" width="11.85546875" style="1" bestFit="1" customWidth="1"/>
    <col min="9" max="9" width="10.42578125" style="1" bestFit="1" customWidth="1"/>
    <col min="10" max="10" width="11.85546875" style="1" bestFit="1" customWidth="1"/>
    <col min="11" max="11" width="10.42578125" style="1" bestFit="1" customWidth="1"/>
    <col min="12" max="12" width="14" style="1" customWidth="1"/>
    <col min="13" max="14" width="13.42578125" style="1" customWidth="1"/>
    <col min="15" max="15" width="10.42578125" style="1" bestFit="1" customWidth="1"/>
    <col min="16" max="16" width="13.5703125" style="1" customWidth="1"/>
    <col min="17" max="17" width="10.42578125" style="1" bestFit="1" customWidth="1"/>
    <col min="18" max="18" width="13.140625" style="1" customWidth="1"/>
    <col min="19" max="19" width="10.42578125" style="1" bestFit="1" customWidth="1"/>
    <col min="20" max="20" width="11.85546875" style="1" bestFit="1" customWidth="1"/>
    <col min="21" max="21" width="10.42578125" style="1" bestFit="1" customWidth="1"/>
    <col min="22" max="22" width="11.85546875" style="1" bestFit="1" customWidth="1"/>
    <col min="23" max="16384" width="11.42578125" style="1"/>
  </cols>
  <sheetData>
    <row r="1" spans="1:22" s="2" customFormat="1" x14ac:dyDescent="0.2"/>
    <row r="2" spans="1:22" s="2" customFormat="1" ht="15.75" x14ac:dyDescent="0.25">
      <c r="B2" s="3"/>
      <c r="C2" s="1"/>
      <c r="D2" s="1"/>
    </row>
    <row r="3" spans="1:22" s="2" customFormat="1" ht="15.75" x14ac:dyDescent="0.25">
      <c r="B3" s="3"/>
      <c r="C3" s="1"/>
      <c r="D3" s="1"/>
    </row>
    <row r="4" spans="1:22" s="2" customFormat="1" ht="15.75" x14ac:dyDescent="0.25">
      <c r="B4" s="3"/>
      <c r="C4" s="1"/>
      <c r="D4" s="1"/>
    </row>
    <row r="5" spans="1:22" s="2" customFormat="1" x14ac:dyDescent="0.2"/>
    <row r="6" spans="1:22" s="2" customFormat="1" x14ac:dyDescent="0.2"/>
    <row r="7" spans="1:22" s="2" customFormat="1" ht="15.75" customHeight="1" x14ac:dyDescent="0.2">
      <c r="A7" s="92" t="str">
        <f>VLOOKUP("&lt;Fachbereich&gt;",Uebersetzungen!$B$3:$E$213,Uebersetzungen!$B$2+1,FALSE)</f>
        <v>Daten &amp; Statistik</v>
      </c>
      <c r="B7" s="92"/>
      <c r="C7" s="4"/>
      <c r="D7" s="4"/>
      <c r="E7" s="4"/>
      <c r="F7" s="4"/>
      <c r="G7" s="4"/>
      <c r="H7" s="4"/>
    </row>
    <row r="8" spans="1:22" s="2" customFormat="1" x14ac:dyDescent="0.2"/>
    <row r="9" spans="1:22" s="8" customFormat="1" ht="18" x14ac:dyDescent="0.2">
      <c r="A9" s="62" t="str">
        <f>VLOOKUP("&lt;Titel&gt;",Uebersetzungen!$B$3:$E$213,Uebersetzungen!$B$2+1,FALSE)</f>
        <v>Religionszugehörigkeit im Kanton Graubünden</v>
      </c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22" s="8" customFormat="1" ht="15" x14ac:dyDescent="0.2">
      <c r="A10" s="63" t="str">
        <f>VLOOKUP("&lt;UTitel&gt;",Uebersetzungen!$B$3:$E$213,Uebersetzungen!$B$2+1,FALSE)</f>
        <v>Ständige schweizerische Wohnbevölkerung ab 15 Jahren</v>
      </c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22" s="8" customFormat="1" ht="15.75" thickBot="1" x14ac:dyDescent="0.25">
      <c r="A11" s="63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22" ht="18.75" thickBot="1" x14ac:dyDescent="0.3">
      <c r="C12" s="95">
        <v>2022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</row>
    <row r="13" spans="1:22" ht="39" customHeight="1" thickBot="1" x14ac:dyDescent="0.25">
      <c r="A13" s="10"/>
      <c r="B13" s="16"/>
      <c r="C13" s="93" t="str">
        <f>VLOOKUP("&lt;SpaltenTitel_1&gt;",Uebersetzungen!$B$3:$E$213,Uebersetzungen!$B$2+1,FALSE)</f>
        <v>Total</v>
      </c>
      <c r="D13" s="94"/>
      <c r="E13" s="88" t="str">
        <f>VLOOKUP("&lt;SpaltenTitel_2&gt;",Uebersetzungen!$B$3:$E$213,Uebersetzungen!$B$2+1,FALSE)</f>
        <v>Evangelisch-reformiert</v>
      </c>
      <c r="F13" s="91"/>
      <c r="G13" s="94" t="str">
        <f>VLOOKUP("&lt;SpaltenTitel_3&gt;",Uebersetzungen!$B$3:$E$213,Uebersetzungen!$B$2+1,FALSE)</f>
        <v>Römisch-katholisch</v>
      </c>
      <c r="H13" s="91"/>
      <c r="I13" s="88" t="str">
        <f>VLOOKUP("&lt;SpaltenTitel_4&gt;",Uebersetzungen!$B$3:$E$213,Uebersetzungen!$B$2+1,FALSE)</f>
        <v>Christkatholisch (altkatholisch)</v>
      </c>
      <c r="J13" s="91"/>
      <c r="K13" s="88" t="str">
        <f>VLOOKUP("&lt;SpaltenTitel_5&gt;",Uebersetzungen!$B$3:$E$213,Uebersetzungen!$B$2+1,FALSE)</f>
        <v>Andere christliche Glaubensgemeinschaften</v>
      </c>
      <c r="L13" s="91"/>
      <c r="M13" s="88" t="str">
        <f>VLOOKUP("&lt;SpaltenTitel_6&gt;",Uebersetzungen!$B$3:$E$213,Uebersetzungen!$B$2+1,FALSE)</f>
        <v>Jüdische Glaubensgemeinschaften</v>
      </c>
      <c r="N13" s="91"/>
      <c r="O13" s="88" t="str">
        <f>VLOOKUP("&lt;SpaltenTitel_7&gt;",Uebersetzungen!$B$3:$E$213,Uebersetzungen!$B$2+1,FALSE)</f>
        <v>Islamische Glaubensgemeinschaften</v>
      </c>
      <c r="P13" s="91"/>
      <c r="Q13" s="88" t="str">
        <f>VLOOKUP("&lt;SpaltenTitel_8&gt;",Uebersetzungen!$B$3:$E$213,Uebersetzungen!$B$2+1,FALSE)</f>
        <v>Andere Religionsgemeinschaften</v>
      </c>
      <c r="R13" s="91"/>
      <c r="S13" s="88" t="str">
        <f>VLOOKUP("&lt;SpaltenTitel_9&gt;",Uebersetzungen!$B$3:$E$213,Uebersetzungen!$B$2+1,FALSE)</f>
        <v>Ohne Religionszugehörigkeit</v>
      </c>
      <c r="T13" s="91"/>
      <c r="U13" s="88" t="str">
        <f>VLOOKUP("&lt;SpaltenTitel_10&gt;",Uebersetzungen!$B$3:$E$213,Uebersetzungen!$B$2+1,FALSE)</f>
        <v>Religionszugehörigkeit unbekannt</v>
      </c>
      <c r="V13" s="89"/>
    </row>
    <row r="14" spans="1:22" ht="39.75" customHeight="1" thickBot="1" x14ac:dyDescent="0.25">
      <c r="A14" s="64"/>
      <c r="B14" s="65"/>
      <c r="C14" s="81" t="str">
        <f>VLOOKUP("&lt;SpaltenTitel_1.1&gt;",Uebersetzungen!$B$3:$E$213,Uebersetzungen!$B$2+1,FALSE)</f>
        <v>Anzahl Personen</v>
      </c>
      <c r="D14" s="82" t="str">
        <f>VLOOKUP("&lt;SpaltenTitel_1.2&gt;",Uebersetzungen!$B$3:$E$213,Uebersetzungen!$B$2+1,FALSE)</f>
        <v>Vertrauens- intervall:          ± (in %)</v>
      </c>
      <c r="E14" s="83" t="str">
        <f>VLOOKUP("&lt;SpaltenTitel_1.1&gt;",Uebersetzungen!$B$3:$E$213,Uebersetzungen!$B$2+1,FALSE)</f>
        <v>Anzahl Personen</v>
      </c>
      <c r="F14" s="84" t="str">
        <f>VLOOKUP("&lt;SpaltenTitel_1.2&gt;",Uebersetzungen!$B$3:$E$213,Uebersetzungen!$B$2+1,FALSE)</f>
        <v>Vertrauens- intervall:          ± (in %)</v>
      </c>
      <c r="G14" s="85" t="str">
        <f>VLOOKUP("&lt;SpaltenTitel_1.1&gt;",Uebersetzungen!$B$3:$E$213,Uebersetzungen!$B$2+1,FALSE)</f>
        <v>Anzahl Personen</v>
      </c>
      <c r="H14" s="86" t="str">
        <f>VLOOKUP("&lt;SpaltenTitel_1.2&gt;",Uebersetzungen!$B$3:$E$213,Uebersetzungen!$B$2+1,FALSE)</f>
        <v>Vertrauens- intervall:          ± (in %)</v>
      </c>
      <c r="I14" s="83" t="str">
        <f>VLOOKUP("&lt;SpaltenTitel_1.1&gt;",Uebersetzungen!$B$3:$E$213,Uebersetzungen!$B$2+1,FALSE)</f>
        <v>Anzahl Personen</v>
      </c>
      <c r="J14" s="84" t="str">
        <f>VLOOKUP("&lt;SpaltenTitel_1.2&gt;",Uebersetzungen!$B$3:$E$213,Uebersetzungen!$B$2+1,FALSE)</f>
        <v>Vertrauens- intervall:          ± (in %)</v>
      </c>
      <c r="K14" s="83" t="str">
        <f>VLOOKUP("&lt;SpaltenTitel_1.1&gt;",Uebersetzungen!$B$3:$E$213,Uebersetzungen!$B$2+1,FALSE)</f>
        <v>Anzahl Personen</v>
      </c>
      <c r="L14" s="84" t="str">
        <f>VLOOKUP("&lt;SpaltenTitel_1.2&gt;",Uebersetzungen!$B$3:$E$213,Uebersetzungen!$B$2+1,FALSE)</f>
        <v>Vertrauens- intervall:          ± (in %)</v>
      </c>
      <c r="M14" s="83" t="str">
        <f>VLOOKUP("&lt;SpaltenTitel_1.1&gt;",Uebersetzungen!$B$3:$E$213,Uebersetzungen!$B$2+1,FALSE)</f>
        <v>Anzahl Personen</v>
      </c>
      <c r="N14" s="84" t="str">
        <f>VLOOKUP("&lt;SpaltenTitel_1.2&gt;",Uebersetzungen!$B$3:$E$213,Uebersetzungen!$B$2+1,FALSE)</f>
        <v>Vertrauens- intervall:          ± (in %)</v>
      </c>
      <c r="O14" s="83" t="str">
        <f>VLOOKUP("&lt;SpaltenTitel_1.1&gt;",Uebersetzungen!$B$3:$E$213,Uebersetzungen!$B$2+1,FALSE)</f>
        <v>Anzahl Personen</v>
      </c>
      <c r="P14" s="84" t="str">
        <f>VLOOKUP("&lt;SpaltenTitel_1.2&gt;",Uebersetzungen!$B$3:$E$213,Uebersetzungen!$B$2+1,FALSE)</f>
        <v>Vertrauens- intervall:          ± (in %)</v>
      </c>
      <c r="Q14" s="83" t="str">
        <f>VLOOKUP("&lt;SpaltenTitel_1.1&gt;",Uebersetzungen!$B$3:$E$213,Uebersetzungen!$B$2+1,FALSE)</f>
        <v>Anzahl Personen</v>
      </c>
      <c r="R14" s="84" t="str">
        <f>VLOOKUP("&lt;SpaltenTitel_1.2&gt;",Uebersetzungen!$B$3:$E$213,Uebersetzungen!$B$2+1,FALSE)</f>
        <v>Vertrauens- intervall:          ± (in %)</v>
      </c>
      <c r="S14" s="83" t="str">
        <f>VLOOKUP("&lt;SpaltenTitel_1.1&gt;",Uebersetzungen!$B$3:$E$213,Uebersetzungen!$B$2+1,FALSE)</f>
        <v>Anzahl Personen</v>
      </c>
      <c r="T14" s="84" t="str">
        <f>VLOOKUP("&lt;SpaltenTitel_1.2&gt;",Uebersetzungen!$B$3:$E$213,Uebersetzungen!$B$2+1,FALSE)</f>
        <v>Vertrauens- intervall:          ± (in %)</v>
      </c>
      <c r="U14" s="83" t="str">
        <f>VLOOKUP("&lt;SpaltenTitel_1.1&gt;",Uebersetzungen!$B$3:$E$213,Uebersetzungen!$B$2+1,FALSE)</f>
        <v>Anzahl Personen</v>
      </c>
      <c r="V14" s="87" t="str">
        <f>VLOOKUP("&lt;SpaltenTitel_1.2&gt;",Uebersetzungen!$B$3:$E$213,Uebersetzungen!$B$2+1,FALSE)</f>
        <v>Vertrauens- intervall:          ± (in %)</v>
      </c>
    </row>
    <row r="15" spans="1:22" ht="12" customHeight="1" x14ac:dyDescent="0.2">
      <c r="A15" s="90" t="str">
        <f>VLOOKUP("&lt;Zeilentitel_1&gt;",Uebersetzungen!$B$3:$E$212,Uebersetzungen!$B$2+1,FALSE)</f>
        <v>Total</v>
      </c>
      <c r="B15" s="90"/>
      <c r="C15" s="24">
        <v>172987.00000000119</v>
      </c>
      <c r="D15" s="43">
        <v>0.30992133630712837</v>
      </c>
      <c r="E15" s="44">
        <v>49298.529031014754</v>
      </c>
      <c r="F15" s="26">
        <v>4.3151191899031005</v>
      </c>
      <c r="G15" s="51">
        <v>67261.599632644866</v>
      </c>
      <c r="H15" s="43">
        <v>3.4867971564578819</v>
      </c>
      <c r="I15" s="27" t="s">
        <v>246</v>
      </c>
      <c r="J15" s="43" t="s">
        <v>246</v>
      </c>
      <c r="K15" s="51">
        <v>5540.0616399212486</v>
      </c>
      <c r="L15" s="25">
        <v>15.798256938903707</v>
      </c>
      <c r="M15" s="51" t="s">
        <v>246</v>
      </c>
      <c r="N15" s="43" t="s">
        <v>246</v>
      </c>
      <c r="O15" s="27">
        <v>3849.2006142108316</v>
      </c>
      <c r="P15" s="43">
        <v>19.599701478859497</v>
      </c>
      <c r="Q15" s="55">
        <v>1174.4035319014802</v>
      </c>
      <c r="R15" s="28">
        <v>34.871377521023916</v>
      </c>
      <c r="S15" s="51">
        <v>44849.814860215411</v>
      </c>
      <c r="T15" s="43">
        <v>4.7399140220872509</v>
      </c>
      <c r="U15" s="55">
        <v>945.72383215870559</v>
      </c>
      <c r="V15" s="58">
        <v>37.151582378383225</v>
      </c>
    </row>
    <row r="16" spans="1:22" x14ac:dyDescent="0.2">
      <c r="A16" s="18" t="str">
        <f>VLOOKUP("&lt;Zeilentitel_2&gt;",Uebersetzungen!$B$3:$E$212,Uebersetzungen!$B$2+1,FALSE)</f>
        <v>Geschlecht</v>
      </c>
      <c r="B16" s="18" t="str">
        <f>VLOOKUP("&lt;Zeilentitel_2.1&gt;",Uebersetzungen!$B$3:$E$212,Uebersetzungen!$B$2+1,FALSE)</f>
        <v>Männer</v>
      </c>
      <c r="C16" s="29">
        <v>86763.000000001382</v>
      </c>
      <c r="D16" s="45">
        <v>2.8238600372240676</v>
      </c>
      <c r="E16" s="46">
        <v>23261.288596283466</v>
      </c>
      <c r="F16" s="31">
        <v>6.9471441283382482</v>
      </c>
      <c r="G16" s="52">
        <v>33665.409106766914</v>
      </c>
      <c r="H16" s="45">
        <v>5.6993748044068786</v>
      </c>
      <c r="I16" s="32" t="s">
        <v>246</v>
      </c>
      <c r="J16" s="45" t="s">
        <v>246</v>
      </c>
      <c r="K16" s="52">
        <v>2190.4660751740926</v>
      </c>
      <c r="L16" s="30">
        <v>25.75259506058363</v>
      </c>
      <c r="M16" s="52" t="s">
        <v>246</v>
      </c>
      <c r="N16" s="45" t="s">
        <v>246</v>
      </c>
      <c r="O16" s="32">
        <v>2319.460292749186</v>
      </c>
      <c r="P16" s="45">
        <v>25.726370381239885</v>
      </c>
      <c r="Q16" s="53">
        <v>467.73490887156368</v>
      </c>
      <c r="R16" s="34">
        <v>56.187009432825164</v>
      </c>
      <c r="S16" s="52">
        <v>24328.897294547336</v>
      </c>
      <c r="T16" s="45">
        <v>6.9842290567765648</v>
      </c>
      <c r="U16" s="53">
        <v>497.36147130656735</v>
      </c>
      <c r="V16" s="59">
        <v>51.691878184106422</v>
      </c>
    </row>
    <row r="17" spans="1:22" x14ac:dyDescent="0.2">
      <c r="A17" s="19"/>
      <c r="B17" s="19" t="str">
        <f>VLOOKUP("&lt;Zeilentitel_2.2&gt;",Uebersetzungen!$B$3:$E$212,Uebersetzungen!$B$2+1,FALSE)</f>
        <v>Frauen</v>
      </c>
      <c r="C17" s="29">
        <v>86223.999999999869</v>
      </c>
      <c r="D17" s="45">
        <v>2.7581960888754882</v>
      </c>
      <c r="E17" s="46">
        <v>26037.240434731284</v>
      </c>
      <c r="F17" s="31">
        <v>6.4661571176026786</v>
      </c>
      <c r="G17" s="52">
        <v>33596.190525877952</v>
      </c>
      <c r="H17" s="45">
        <v>5.5987436074592809</v>
      </c>
      <c r="I17" s="32" t="s">
        <v>246</v>
      </c>
      <c r="J17" s="45" t="s">
        <v>246</v>
      </c>
      <c r="K17" s="52">
        <v>3349.5955647471565</v>
      </c>
      <c r="L17" s="30">
        <v>20.225630836476132</v>
      </c>
      <c r="M17" s="52" t="s">
        <v>246</v>
      </c>
      <c r="N17" s="45" t="s">
        <v>246</v>
      </c>
      <c r="O17" s="33">
        <v>1529.7403214616456</v>
      </c>
      <c r="P17" s="47">
        <v>30.556413829471158</v>
      </c>
      <c r="Q17" s="53">
        <v>706.66862302991649</v>
      </c>
      <c r="R17" s="34">
        <v>44.558650350330076</v>
      </c>
      <c r="S17" s="52">
        <v>20520.917565668075</v>
      </c>
      <c r="T17" s="45">
        <v>7.5349276588371445</v>
      </c>
      <c r="U17" s="53">
        <v>448.36236085213818</v>
      </c>
      <c r="V17" s="59">
        <v>53.569311896345425</v>
      </c>
    </row>
    <row r="18" spans="1:22" x14ac:dyDescent="0.2">
      <c r="A18" s="18" t="str">
        <f>VLOOKUP("&lt;Zeilentitel_3&gt;",Uebersetzungen!$B$3:$E$212,Uebersetzungen!$B$2+1,FALSE)</f>
        <v>Alter</v>
      </c>
      <c r="B18" s="18" t="str">
        <f>VLOOKUP("&lt;Zeilentitel_3.1&gt;",Uebersetzungen!$B$3:$E$212,Uebersetzungen!$B$2+1,FALSE)</f>
        <v>15-24</v>
      </c>
      <c r="C18" s="29">
        <v>18891.000000000182</v>
      </c>
      <c r="D18" s="45">
        <v>8.1326481053992321</v>
      </c>
      <c r="E18" s="46">
        <v>6223.4765559352909</v>
      </c>
      <c r="F18" s="31">
        <v>14.409981457209996</v>
      </c>
      <c r="G18" s="52">
        <v>7718.9638874851844</v>
      </c>
      <c r="H18" s="45">
        <v>13.092706990908642</v>
      </c>
      <c r="I18" s="32" t="s">
        <v>246</v>
      </c>
      <c r="J18" s="45" t="s">
        <v>246</v>
      </c>
      <c r="K18" s="53">
        <v>977.18945005635817</v>
      </c>
      <c r="L18" s="34">
        <v>40.358749238829496</v>
      </c>
      <c r="M18" s="52" t="s">
        <v>246</v>
      </c>
      <c r="N18" s="45" t="s">
        <v>246</v>
      </c>
      <c r="O18" s="33">
        <v>627.58598772522487</v>
      </c>
      <c r="P18" s="47">
        <v>50.469628442876854</v>
      </c>
      <c r="Q18" s="53" t="s">
        <v>246</v>
      </c>
      <c r="R18" s="34" t="s">
        <v>246</v>
      </c>
      <c r="S18" s="52">
        <v>3215.484259938617</v>
      </c>
      <c r="T18" s="45">
        <v>20.765043520058029</v>
      </c>
      <c r="U18" s="52" t="s">
        <v>246</v>
      </c>
      <c r="V18" s="60" t="s">
        <v>246</v>
      </c>
    </row>
    <row r="19" spans="1:22" x14ac:dyDescent="0.2">
      <c r="A19" s="18"/>
      <c r="B19" s="18" t="str">
        <f>VLOOKUP("&lt;Zeilentitel_3.2&gt;",Uebersetzungen!$B$3:$E$212,Uebersetzungen!$B$2+1,FALSE)</f>
        <v>25-44</v>
      </c>
      <c r="C19" s="29">
        <v>50864.000000000335</v>
      </c>
      <c r="D19" s="45">
        <v>4.4311277725070495</v>
      </c>
      <c r="E19" s="46">
        <v>11822.978257655543</v>
      </c>
      <c r="F19" s="31">
        <v>10.282162499348777</v>
      </c>
      <c r="G19" s="52">
        <v>17665.631153754977</v>
      </c>
      <c r="H19" s="45">
        <v>8.3930937258070486</v>
      </c>
      <c r="I19" s="32" t="s">
        <v>246</v>
      </c>
      <c r="J19" s="45" t="s">
        <v>246</v>
      </c>
      <c r="K19" s="52">
        <v>1629.9732090185437</v>
      </c>
      <c r="L19" s="30">
        <v>29.613896325196094</v>
      </c>
      <c r="M19" s="52" t="s">
        <v>246</v>
      </c>
      <c r="N19" s="45" t="s">
        <v>246</v>
      </c>
      <c r="O19" s="32">
        <v>1649.4145566732207</v>
      </c>
      <c r="P19" s="45">
        <v>30.332460376054872</v>
      </c>
      <c r="Q19" s="53">
        <v>320.60807617312599</v>
      </c>
      <c r="R19" s="34">
        <v>64.536358445449054</v>
      </c>
      <c r="S19" s="52">
        <v>17523.286502799492</v>
      </c>
      <c r="T19" s="45">
        <v>8.5195256239624744</v>
      </c>
      <c r="U19" s="53">
        <v>252.10824392543503</v>
      </c>
      <c r="V19" s="59">
        <v>73.158438625740899</v>
      </c>
    </row>
    <row r="20" spans="1:22" x14ac:dyDescent="0.2">
      <c r="A20" s="18"/>
      <c r="B20" s="18" t="str">
        <f>VLOOKUP("&lt;Zeilentitel_3.3&gt;",Uebersetzungen!$B$3:$E$212,Uebersetzungen!$B$2+1,FALSE)</f>
        <v>45-64</v>
      </c>
      <c r="C20" s="29">
        <v>59080.000000000226</v>
      </c>
      <c r="D20" s="45">
        <v>3.8848078343530661</v>
      </c>
      <c r="E20" s="46">
        <v>14985.61218146694</v>
      </c>
      <c r="F20" s="31">
        <v>8.9531898058151107</v>
      </c>
      <c r="G20" s="52">
        <v>24121.690923738282</v>
      </c>
      <c r="H20" s="45">
        <v>6.9369623541974148</v>
      </c>
      <c r="I20" s="32" t="s">
        <v>246</v>
      </c>
      <c r="J20" s="45" t="s">
        <v>246</v>
      </c>
      <c r="K20" s="52">
        <v>1925.6206281628622</v>
      </c>
      <c r="L20" s="30">
        <v>26.873416337665702</v>
      </c>
      <c r="M20" s="52" t="s">
        <v>246</v>
      </c>
      <c r="N20" s="45" t="s">
        <v>246</v>
      </c>
      <c r="O20" s="33">
        <v>1149.5842577356439</v>
      </c>
      <c r="P20" s="47">
        <v>35.34520837899975</v>
      </c>
      <c r="Q20" s="53">
        <v>549.57753164206053</v>
      </c>
      <c r="R20" s="34">
        <v>51.94949032177793</v>
      </c>
      <c r="S20" s="52">
        <v>16058.935537305117</v>
      </c>
      <c r="T20" s="45">
        <v>8.7045436821286408</v>
      </c>
      <c r="U20" s="53">
        <v>253.69433631762433</v>
      </c>
      <c r="V20" s="59">
        <v>73.02065127445546</v>
      </c>
    </row>
    <row r="21" spans="1:22" x14ac:dyDescent="0.2">
      <c r="A21" s="19"/>
      <c r="B21" s="19" t="str">
        <f>VLOOKUP("&lt;Zeilentitel_3.4&gt;",Uebersetzungen!$B$3:$E$212,Uebersetzungen!$B$2+1,FALSE)</f>
        <v>65 und mehr</v>
      </c>
      <c r="C21" s="29">
        <v>44152.000000000415</v>
      </c>
      <c r="D21" s="45">
        <v>4.5017942121198535</v>
      </c>
      <c r="E21" s="46">
        <v>16266.462035956944</v>
      </c>
      <c r="F21" s="31">
        <v>8.2083869075130558</v>
      </c>
      <c r="G21" s="52">
        <v>17755.313667666429</v>
      </c>
      <c r="H21" s="45">
        <v>7.8743257051765214</v>
      </c>
      <c r="I21" s="32" t="s">
        <v>246</v>
      </c>
      <c r="J21" s="45" t="s">
        <v>246</v>
      </c>
      <c r="K21" s="53">
        <v>1007.2783526834854</v>
      </c>
      <c r="L21" s="34">
        <v>35.338460165068824</v>
      </c>
      <c r="M21" s="52" t="s">
        <v>246</v>
      </c>
      <c r="N21" s="45" t="s">
        <v>246</v>
      </c>
      <c r="O21" s="33">
        <v>422.61581207674192</v>
      </c>
      <c r="P21" s="47">
        <v>58.532128637086693</v>
      </c>
      <c r="Q21" s="53">
        <v>175.9180652267853</v>
      </c>
      <c r="R21" s="34">
        <v>87.030197225989738</v>
      </c>
      <c r="S21" s="52">
        <v>8052.108560172127</v>
      </c>
      <c r="T21" s="45">
        <v>11.995148739617987</v>
      </c>
      <c r="U21" s="53">
        <v>439.92125191564617</v>
      </c>
      <c r="V21" s="59">
        <v>53.574832370410334</v>
      </c>
    </row>
    <row r="22" spans="1:22" x14ac:dyDescent="0.2">
      <c r="A22" s="18" t="str">
        <f>VLOOKUP("&lt;Zeilentitel_4&gt;",Uebersetzungen!$B$3:$E$212,Uebersetzungen!$B$2+1,FALSE)</f>
        <v>Staatsangehörigkeit</v>
      </c>
      <c r="B22" s="18" t="str">
        <f>VLOOKUP("&lt;Zeilentitel_4.1&gt;",Uebersetzungen!$B$3:$E$212,Uebersetzungen!$B$2+1,FALSE)</f>
        <v>Schweiz</v>
      </c>
      <c r="C22" s="29">
        <v>139204.00000000081</v>
      </c>
      <c r="D22" s="45">
        <v>1.2994587979742214</v>
      </c>
      <c r="E22" s="46">
        <v>47605.36784033243</v>
      </c>
      <c r="F22" s="31">
        <v>4.4162939369345402</v>
      </c>
      <c r="G22" s="52">
        <v>52427.781428488583</v>
      </c>
      <c r="H22" s="45">
        <v>4.1174277838454705</v>
      </c>
      <c r="I22" s="32" t="s">
        <v>246</v>
      </c>
      <c r="J22" s="45" t="s">
        <v>246</v>
      </c>
      <c r="K22" s="52">
        <v>3297.9290010572777</v>
      </c>
      <c r="L22" s="30">
        <v>19.728468550560873</v>
      </c>
      <c r="M22" s="52" t="s">
        <v>246</v>
      </c>
      <c r="N22" s="45" t="s">
        <v>246</v>
      </c>
      <c r="O22" s="32">
        <v>1347.9625912946674</v>
      </c>
      <c r="P22" s="45">
        <v>31.733870861750589</v>
      </c>
      <c r="Q22" s="53">
        <v>521.19326863633739</v>
      </c>
      <c r="R22" s="34">
        <v>49.869263928716869</v>
      </c>
      <c r="S22" s="52">
        <v>33247.164814549222</v>
      </c>
      <c r="T22" s="45">
        <v>5.6164911036673812</v>
      </c>
      <c r="U22" s="53">
        <v>688.93419770834191</v>
      </c>
      <c r="V22" s="59">
        <v>43.16515247536482</v>
      </c>
    </row>
    <row r="23" spans="1:22" x14ac:dyDescent="0.2">
      <c r="A23" s="18"/>
      <c r="B23" s="18" t="str">
        <f>VLOOKUP("&lt;Zeilentitel_4.2&gt;",Uebersetzungen!$B$3:$E$212,Uebersetzungen!$B$2+1,FALSE)</f>
        <v>EU und EFTA</v>
      </c>
      <c r="C23" s="29">
        <v>27064.983765801466</v>
      </c>
      <c r="D23" s="45">
        <v>6.8207002529804264</v>
      </c>
      <c r="E23" s="46">
        <v>1582.9454177772259</v>
      </c>
      <c r="F23" s="31">
        <v>29.149600988718031</v>
      </c>
      <c r="G23" s="52">
        <v>14159.773410075346</v>
      </c>
      <c r="H23" s="45">
        <v>9.8270002054437295</v>
      </c>
      <c r="I23" s="32" t="s">
        <v>246</v>
      </c>
      <c r="J23" s="45" t="s">
        <v>246</v>
      </c>
      <c r="K23" s="53">
        <v>909.58174992593729</v>
      </c>
      <c r="L23" s="34">
        <v>40.504976295281416</v>
      </c>
      <c r="M23" s="52" t="s">
        <v>246</v>
      </c>
      <c r="N23" s="45" t="s">
        <v>246</v>
      </c>
      <c r="O23" s="32" t="s">
        <v>246</v>
      </c>
      <c r="P23" s="45" t="s">
        <v>246</v>
      </c>
      <c r="Q23" s="52" t="s">
        <v>246</v>
      </c>
      <c r="R23" s="30" t="s">
        <v>246</v>
      </c>
      <c r="S23" s="52">
        <v>10045.096058820458</v>
      </c>
      <c r="T23" s="45">
        <v>11.767721566456673</v>
      </c>
      <c r="U23" s="52">
        <v>218.05581985205404</v>
      </c>
      <c r="V23" s="60">
        <v>79.026987936301865</v>
      </c>
    </row>
    <row r="24" spans="1:22" x14ac:dyDescent="0.2">
      <c r="A24" s="18"/>
      <c r="B24" s="18" t="str">
        <f>VLOOKUP("&lt;Zeilentitel_4.3&gt;",Uebersetzungen!$B$3:$E$212,Uebersetzungen!$B$2+1,FALSE)</f>
        <v>Anderer europäischer Staat</v>
      </c>
      <c r="C24" s="29">
        <v>3125.9182605860506</v>
      </c>
      <c r="D24" s="45">
        <v>22.433578658784253</v>
      </c>
      <c r="E24" s="46" t="s">
        <v>246</v>
      </c>
      <c r="F24" s="31" t="s">
        <v>246</v>
      </c>
      <c r="G24" s="52" t="s">
        <v>246</v>
      </c>
      <c r="H24" s="45" t="s">
        <v>246</v>
      </c>
      <c r="I24" s="32" t="s">
        <v>246</v>
      </c>
      <c r="J24" s="45" t="s">
        <v>246</v>
      </c>
      <c r="K24" s="53">
        <v>783.54728719825653</v>
      </c>
      <c r="L24" s="34">
        <v>45.090877835355769</v>
      </c>
      <c r="M24" s="52" t="s">
        <v>246</v>
      </c>
      <c r="N24" s="45" t="s">
        <v>246</v>
      </c>
      <c r="O24" s="33">
        <v>1436.0151370512399</v>
      </c>
      <c r="P24" s="47">
        <v>32.822994689245846</v>
      </c>
      <c r="Q24" s="52" t="s">
        <v>246</v>
      </c>
      <c r="R24" s="30" t="s">
        <v>246</v>
      </c>
      <c r="S24" s="53">
        <v>744.41389698146463</v>
      </c>
      <c r="T24" s="47">
        <v>47.539121776381556</v>
      </c>
      <c r="U24" s="52" t="s">
        <v>246</v>
      </c>
      <c r="V24" s="60" t="s">
        <v>246</v>
      </c>
    </row>
    <row r="25" spans="1:22" x14ac:dyDescent="0.2">
      <c r="A25" s="18"/>
      <c r="B25" s="18" t="str">
        <f>VLOOKUP("&lt;Zeilentitel_4.4&gt;",Uebersetzungen!$B$3:$E$212,Uebersetzungen!$B$2+1,FALSE)</f>
        <v>Aussereuropäischer Staat</v>
      </c>
      <c r="C25" s="29">
        <v>3592.0979736129129</v>
      </c>
      <c r="D25" s="45">
        <v>20.785204303073471</v>
      </c>
      <c r="E25" s="46" t="s">
        <v>246</v>
      </c>
      <c r="F25" s="31" t="s">
        <v>246</v>
      </c>
      <c r="G25" s="53">
        <v>512.10285472582893</v>
      </c>
      <c r="H25" s="47">
        <v>54.007606939206269</v>
      </c>
      <c r="I25" s="32" t="s">
        <v>246</v>
      </c>
      <c r="J25" s="45" t="s">
        <v>246</v>
      </c>
      <c r="K25" s="53">
        <v>549.00360173977674</v>
      </c>
      <c r="L25" s="34">
        <v>56.402440357237751</v>
      </c>
      <c r="M25" s="52" t="s">
        <v>246</v>
      </c>
      <c r="N25" s="45" t="s">
        <v>246</v>
      </c>
      <c r="O25" s="33">
        <v>948.58998812428263</v>
      </c>
      <c r="P25" s="47">
        <v>41.462476393665256</v>
      </c>
      <c r="Q25" s="53">
        <v>620.31185165533941</v>
      </c>
      <c r="R25" s="34">
        <v>50.122424775247694</v>
      </c>
      <c r="S25" s="53">
        <v>813.1400898642936</v>
      </c>
      <c r="T25" s="47">
        <v>42.746613686438629</v>
      </c>
      <c r="U25" s="52" t="s">
        <v>246</v>
      </c>
      <c r="V25" s="60" t="s">
        <v>246</v>
      </c>
    </row>
    <row r="26" spans="1:22" x14ac:dyDescent="0.2">
      <c r="A26" s="19"/>
      <c r="B26" s="19" t="str">
        <f>VLOOKUP("&lt;Zeilentitel_4.5&gt;",Uebersetzungen!$B$3:$E$212,Uebersetzungen!$B$2+1,FALSE)</f>
        <v>Staatsangehörigkeit unbekannt</v>
      </c>
      <c r="C26" s="29" t="s">
        <v>246</v>
      </c>
      <c r="D26" s="45" t="s">
        <v>246</v>
      </c>
      <c r="E26" s="46" t="s">
        <v>246</v>
      </c>
      <c r="F26" s="31" t="s">
        <v>246</v>
      </c>
      <c r="G26" s="52" t="s">
        <v>246</v>
      </c>
      <c r="H26" s="45" t="s">
        <v>246</v>
      </c>
      <c r="I26" s="32" t="s">
        <v>246</v>
      </c>
      <c r="J26" s="45" t="s">
        <v>246</v>
      </c>
      <c r="K26" s="52" t="s">
        <v>246</v>
      </c>
      <c r="L26" s="30" t="s">
        <v>246</v>
      </c>
      <c r="M26" s="52" t="s">
        <v>246</v>
      </c>
      <c r="N26" s="45" t="s">
        <v>246</v>
      </c>
      <c r="O26" s="32" t="s">
        <v>246</v>
      </c>
      <c r="P26" s="45" t="s">
        <v>246</v>
      </c>
      <c r="Q26" s="52" t="s">
        <v>246</v>
      </c>
      <c r="R26" s="30" t="s">
        <v>246</v>
      </c>
      <c r="S26" s="52" t="s">
        <v>246</v>
      </c>
      <c r="T26" s="45" t="s">
        <v>246</v>
      </c>
      <c r="U26" s="52" t="s">
        <v>246</v>
      </c>
      <c r="V26" s="60" t="s">
        <v>246</v>
      </c>
    </row>
    <row r="27" spans="1:22" x14ac:dyDescent="0.2">
      <c r="A27" s="18" t="str">
        <f>VLOOKUP("&lt;Zeilentitel_5&gt;",Uebersetzungen!$B$3:$E$212,Uebersetzungen!$B$2+1,FALSE)</f>
        <v>Migrationsstatus</v>
      </c>
      <c r="B27" s="18" t="str">
        <f>VLOOKUP("&lt;Zeilentitel_5.1&gt;",Uebersetzungen!$B$3:$E$212,Uebersetzungen!$B$2+1,FALSE)</f>
        <v>Schweizer/innen ohne Migrationshintergrund</v>
      </c>
      <c r="C27" s="29">
        <v>122616.61450815984</v>
      </c>
      <c r="D27" s="45">
        <v>1.7145052831186447</v>
      </c>
      <c r="E27" s="46">
        <v>45713.273201945005</v>
      </c>
      <c r="F27" s="31">
        <v>4.5414210522311151</v>
      </c>
      <c r="G27" s="52">
        <v>45686.404522376506</v>
      </c>
      <c r="H27" s="45">
        <v>4.5368263231287296</v>
      </c>
      <c r="I27" s="32" t="s">
        <v>246</v>
      </c>
      <c r="J27" s="45" t="s">
        <v>246</v>
      </c>
      <c r="K27" s="52">
        <v>2080.1490779616161</v>
      </c>
      <c r="L27" s="30">
        <v>24.857454448059329</v>
      </c>
      <c r="M27" s="52" t="s">
        <v>246</v>
      </c>
      <c r="N27" s="45" t="s">
        <v>246</v>
      </c>
      <c r="O27" s="32" t="s">
        <v>246</v>
      </c>
      <c r="P27" s="45" t="s">
        <v>246</v>
      </c>
      <c r="Q27" s="53">
        <v>170.8014356973701</v>
      </c>
      <c r="R27" s="34">
        <v>86.500280759128216</v>
      </c>
      <c r="S27" s="52">
        <v>28443.998212058199</v>
      </c>
      <c r="T27" s="45">
        <v>6.1802403282089697</v>
      </c>
      <c r="U27" s="53">
        <v>521.98805812112789</v>
      </c>
      <c r="V27" s="59">
        <v>49.863234926440413</v>
      </c>
    </row>
    <row r="28" spans="1:22" x14ac:dyDescent="0.2">
      <c r="A28" s="18"/>
      <c r="B28" s="18" t="str">
        <f>VLOOKUP("&lt;Zeilentitel_5.2&gt;",Uebersetzungen!$B$3:$E$212,Uebersetzungen!$B$2+1,FALSE)</f>
        <v>Schweizer/innen mit Migrationshintergrund</v>
      </c>
      <c r="C28" s="29">
        <v>15629.54625056087</v>
      </c>
      <c r="D28" s="45">
        <v>8.679157970955611</v>
      </c>
      <c r="E28" s="46">
        <v>1749.2158797004831</v>
      </c>
      <c r="F28" s="31">
        <v>26.992172348123248</v>
      </c>
      <c r="G28" s="52">
        <v>6351.2716105398495</v>
      </c>
      <c r="H28" s="45">
        <v>13.939607274559934</v>
      </c>
      <c r="I28" s="32" t="s">
        <v>246</v>
      </c>
      <c r="J28" s="45" t="s">
        <v>246</v>
      </c>
      <c r="K28" s="53">
        <v>1217.7799230956621</v>
      </c>
      <c r="L28" s="34">
        <v>32.826886558284883</v>
      </c>
      <c r="M28" s="52" t="s">
        <v>246</v>
      </c>
      <c r="N28" s="45" t="s">
        <v>246</v>
      </c>
      <c r="O28" s="32">
        <v>1307.6984231930817</v>
      </c>
      <c r="P28" s="45">
        <v>32.172822771665423</v>
      </c>
      <c r="Q28" s="53">
        <v>350.39183293896735</v>
      </c>
      <c r="R28" s="34">
        <v>61.089615990514019</v>
      </c>
      <c r="S28" s="52">
        <v>4454.084065131532</v>
      </c>
      <c r="T28" s="45">
        <v>16.817715450436509</v>
      </c>
      <c r="U28" s="52" t="s">
        <v>246</v>
      </c>
      <c r="V28" s="60" t="s">
        <v>246</v>
      </c>
    </row>
    <row r="29" spans="1:22" x14ac:dyDescent="0.2">
      <c r="A29" s="18"/>
      <c r="B29" s="18" t="str">
        <f>VLOOKUP("&lt;Zeilentitel_5.3&gt;",Uebersetzungen!$B$3:$E$212,Uebersetzungen!$B$2+1,FALSE)</f>
        <v>Ausländer/innen der ersten Generation</v>
      </c>
      <c r="C29" s="29">
        <v>31359.402603251572</v>
      </c>
      <c r="D29" s="45">
        <v>6.3087876246097867</v>
      </c>
      <c r="E29" s="46">
        <v>1626.0151295589749</v>
      </c>
      <c r="F29" s="31">
        <v>28.81849243428799</v>
      </c>
      <c r="G29" s="52">
        <v>13187.574349684681</v>
      </c>
      <c r="H29" s="45">
        <v>10.181914768479045</v>
      </c>
      <c r="I29" s="32" t="s">
        <v>246</v>
      </c>
      <c r="J29" s="45" t="s">
        <v>246</v>
      </c>
      <c r="K29" s="52">
        <v>2161.277422476443</v>
      </c>
      <c r="L29" s="30">
        <v>27.05803497467511</v>
      </c>
      <c r="M29" s="52" t="s">
        <v>246</v>
      </c>
      <c r="N29" s="45" t="s">
        <v>246</v>
      </c>
      <c r="O29" s="32">
        <v>2248.3536448637651</v>
      </c>
      <c r="P29" s="45">
        <v>26.359348705026033</v>
      </c>
      <c r="Q29" s="53">
        <v>653.21026326514277</v>
      </c>
      <c r="R29" s="34">
        <v>48.574909718170424</v>
      </c>
      <c r="S29" s="52">
        <v>11262.056428553842</v>
      </c>
      <c r="T29" s="45">
        <v>11.147718634227008</v>
      </c>
      <c r="U29" s="52">
        <v>220.91536484872165</v>
      </c>
      <c r="V29" s="60">
        <v>79.04197084709125</v>
      </c>
    </row>
    <row r="30" spans="1:22" x14ac:dyDescent="0.2">
      <c r="A30" s="18"/>
      <c r="B30" s="18" t="str">
        <f>VLOOKUP("&lt;Zeilentitel_5.4&gt;",Uebersetzungen!$B$3:$E$212,Uebersetzungen!$B$2+1,FALSE)</f>
        <v>Ausländer/innen der zweiten und höheren Generation</v>
      </c>
      <c r="C30" s="29">
        <v>2340.0852101068199</v>
      </c>
      <c r="D30" s="45">
        <v>25.364680650187374</v>
      </c>
      <c r="E30" s="46" t="s">
        <v>246</v>
      </c>
      <c r="F30" s="31" t="s">
        <v>246</v>
      </c>
      <c r="G30" s="53">
        <v>1646.2438544715828</v>
      </c>
      <c r="H30" s="47">
        <v>30.529111151552105</v>
      </c>
      <c r="I30" s="32" t="s">
        <v>246</v>
      </c>
      <c r="J30" s="45" t="s">
        <v>246</v>
      </c>
      <c r="K30" s="52" t="s">
        <v>246</v>
      </c>
      <c r="L30" s="30" t="s">
        <v>246</v>
      </c>
      <c r="M30" s="52" t="s">
        <v>246</v>
      </c>
      <c r="N30" s="45" t="s">
        <v>246</v>
      </c>
      <c r="O30" s="32">
        <v>252.88437805239909</v>
      </c>
      <c r="P30" s="45">
        <v>80.012987852101745</v>
      </c>
      <c r="Q30" s="52" t="s">
        <v>246</v>
      </c>
      <c r="R30" s="30" t="s">
        <v>246</v>
      </c>
      <c r="S30" s="53">
        <v>299.50521083346536</v>
      </c>
      <c r="T30" s="47">
        <v>68.447095803640948</v>
      </c>
      <c r="U30" s="52" t="s">
        <v>246</v>
      </c>
      <c r="V30" s="60" t="s">
        <v>246</v>
      </c>
    </row>
    <row r="31" spans="1:22" x14ac:dyDescent="0.2">
      <c r="A31" s="19"/>
      <c r="B31" s="19" t="str">
        <f>VLOOKUP("&lt;Zeilentitel_5.5&gt;",Uebersetzungen!$B$3:$E$212,Uebersetzungen!$B$2+1,FALSE)</f>
        <v>Migrationshintergrund unbekannt</v>
      </c>
      <c r="C31" s="35">
        <v>1041.351427922137</v>
      </c>
      <c r="D31" s="47">
        <v>35.886950195120704</v>
      </c>
      <c r="E31" s="48" t="s">
        <v>246</v>
      </c>
      <c r="F31" s="36" t="s">
        <v>246</v>
      </c>
      <c r="G31" s="52">
        <v>390.10529557221838</v>
      </c>
      <c r="H31" s="45">
        <v>58.358559306753342</v>
      </c>
      <c r="I31" s="32" t="s">
        <v>246</v>
      </c>
      <c r="J31" s="45" t="s">
        <v>246</v>
      </c>
      <c r="K31" s="52" t="s">
        <v>246</v>
      </c>
      <c r="L31" s="30" t="s">
        <v>246</v>
      </c>
      <c r="M31" s="52" t="s">
        <v>246</v>
      </c>
      <c r="N31" s="45" t="s">
        <v>246</v>
      </c>
      <c r="O31" s="32" t="s">
        <v>246</v>
      </c>
      <c r="P31" s="45" t="s">
        <v>246</v>
      </c>
      <c r="Q31" s="52" t="s">
        <v>246</v>
      </c>
      <c r="R31" s="30" t="s">
        <v>246</v>
      </c>
      <c r="S31" s="53">
        <v>390.17094363836611</v>
      </c>
      <c r="T31" s="47">
        <v>58.364462649976637</v>
      </c>
      <c r="U31" s="52" t="s">
        <v>246</v>
      </c>
      <c r="V31" s="60" t="s">
        <v>246</v>
      </c>
    </row>
    <row r="32" spans="1:22" x14ac:dyDescent="0.2">
      <c r="A32" s="18" t="str">
        <f>VLOOKUP("&lt;Zeilentitel_6&gt;",Uebersetzungen!$B$3:$E$212,Uebersetzungen!$B$2+1,FALSE)</f>
        <v>Arbeitsmarktstatus</v>
      </c>
      <c r="B32" s="18" t="str">
        <f>VLOOKUP("&lt;Zeilentitel_6.1&gt;",Uebersetzungen!$B$3:$E$212,Uebersetzungen!$B$2+1,FALSE)</f>
        <v>Erwerbstätige</v>
      </c>
      <c r="C32" s="29">
        <v>107516.60503392144</v>
      </c>
      <c r="D32" s="45">
        <v>2.2329611220093941</v>
      </c>
      <c r="E32" s="46">
        <v>28015.97780073731</v>
      </c>
      <c r="F32" s="31">
        <v>6.2718779246635634</v>
      </c>
      <c r="G32" s="52">
        <v>41091.318403882047</v>
      </c>
      <c r="H32" s="45">
        <v>5.0298177476107835</v>
      </c>
      <c r="I32" s="32" t="s">
        <v>246</v>
      </c>
      <c r="J32" s="45" t="s">
        <v>246</v>
      </c>
      <c r="K32" s="52">
        <v>3397.5756920130452</v>
      </c>
      <c r="L32" s="30">
        <v>20.53198309400145</v>
      </c>
      <c r="M32" s="52" t="s">
        <v>246</v>
      </c>
      <c r="N32" s="45" t="s">
        <v>246</v>
      </c>
      <c r="O32" s="32">
        <v>2391.127269451787</v>
      </c>
      <c r="P32" s="45">
        <v>25.020271787409506</v>
      </c>
      <c r="Q32" s="53">
        <v>714.25812007430079</v>
      </c>
      <c r="R32" s="34">
        <v>44.582718788008123</v>
      </c>
      <c r="S32" s="52">
        <v>31401.556032758424</v>
      </c>
      <c r="T32" s="45">
        <v>5.986088636992287</v>
      </c>
      <c r="U32" s="53">
        <v>469.50711137283258</v>
      </c>
      <c r="V32" s="59">
        <v>53.606742562941299</v>
      </c>
    </row>
    <row r="33" spans="1:22" x14ac:dyDescent="0.2">
      <c r="A33" s="18"/>
      <c r="B33" s="18" t="str">
        <f>VLOOKUP("&lt;Zeilentitel_6.2&gt;",Uebersetzungen!$B$3:$E$212,Uebersetzungen!$B$2+1,FALSE)</f>
        <v>Erwerbslose</v>
      </c>
      <c r="C33" s="29">
        <v>2273.5825345761564</v>
      </c>
      <c r="D33" s="45">
        <v>25.546793337573483</v>
      </c>
      <c r="E33" s="48">
        <v>426.68990880268257</v>
      </c>
      <c r="F33" s="36">
        <v>58.400841490669215</v>
      </c>
      <c r="G33" s="53">
        <v>801.94143959329813</v>
      </c>
      <c r="H33" s="47">
        <v>42.732451852326804</v>
      </c>
      <c r="I33" s="32" t="s">
        <v>246</v>
      </c>
      <c r="J33" s="45" t="s">
        <v>246</v>
      </c>
      <c r="K33" s="53" t="s">
        <v>246</v>
      </c>
      <c r="L33" s="34" t="s">
        <v>246</v>
      </c>
      <c r="M33" s="52" t="s">
        <v>246</v>
      </c>
      <c r="N33" s="45" t="s">
        <v>246</v>
      </c>
      <c r="O33" s="32">
        <v>206.67536913345276</v>
      </c>
      <c r="P33" s="45">
        <v>87.05370717731472</v>
      </c>
      <c r="Q33" s="52" t="s">
        <v>246</v>
      </c>
      <c r="R33" s="30" t="s">
        <v>246</v>
      </c>
      <c r="S33" s="53">
        <v>620.12937708718619</v>
      </c>
      <c r="T33" s="47">
        <v>50.19902293278961</v>
      </c>
      <c r="U33" s="52" t="s">
        <v>246</v>
      </c>
      <c r="V33" s="60" t="s">
        <v>246</v>
      </c>
    </row>
    <row r="34" spans="1:22" x14ac:dyDescent="0.2">
      <c r="A34" s="19"/>
      <c r="B34" s="19" t="str">
        <f>VLOOKUP("&lt;Zeilentitel_6.3&gt;",Uebersetzungen!$B$3:$E$212,Uebersetzungen!$B$2+1,FALSE)</f>
        <v>Nichterwerbspersonen</v>
      </c>
      <c r="C34" s="29">
        <v>63196.812431503669</v>
      </c>
      <c r="D34" s="45">
        <v>3.5749644565401462</v>
      </c>
      <c r="E34" s="46">
        <v>20855.861321474746</v>
      </c>
      <c r="F34" s="31">
        <v>7.2647555759979507</v>
      </c>
      <c r="G34" s="52">
        <v>25368.339789169542</v>
      </c>
      <c r="H34" s="45">
        <v>6.5685388787730474</v>
      </c>
      <c r="I34" s="32" t="s">
        <v>246</v>
      </c>
      <c r="J34" s="45" t="s">
        <v>246</v>
      </c>
      <c r="K34" s="52">
        <v>2003.4643032069141</v>
      </c>
      <c r="L34" s="30">
        <v>25.99772194315263</v>
      </c>
      <c r="M34" s="52" t="s">
        <v>246</v>
      </c>
      <c r="N34" s="45" t="s">
        <v>246</v>
      </c>
      <c r="O34" s="33">
        <v>1251.3979756255926</v>
      </c>
      <c r="P34" s="47">
        <v>34.330561290080446</v>
      </c>
      <c r="Q34" s="53">
        <v>381.02061656893119</v>
      </c>
      <c r="R34" s="34">
        <v>61.52321970950549</v>
      </c>
      <c r="S34" s="52">
        <v>12828.129450369808</v>
      </c>
      <c r="T34" s="45">
        <v>9.6829811914607635</v>
      </c>
      <c r="U34" s="53">
        <v>476.21672078587301</v>
      </c>
      <c r="V34" s="59">
        <v>51.625158051203769</v>
      </c>
    </row>
    <row r="35" spans="1:22" ht="12.75" customHeight="1" x14ac:dyDescent="0.2">
      <c r="A35" s="22" t="str">
        <f>VLOOKUP("&lt;Zeilentitel_7&gt;",Uebersetzungen!$B$3:$E$212,Uebersetzungen!$B$2+1,FALSE)</f>
        <v>Sozioprofessionelle Kategorien</v>
      </c>
      <c r="B35" s="22" t="str">
        <f>VLOOKUP("&lt;Zeilentitel_7.1&gt;",Uebersetzungen!$B$3:$E$212,Uebersetzungen!$B$2+1,FALSE)</f>
        <v>Oberstes Management</v>
      </c>
      <c r="C35" s="29">
        <v>2953.3948145954159</v>
      </c>
      <c r="D35" s="45">
        <v>20.757746539864385</v>
      </c>
      <c r="E35" s="48">
        <v>536.35293868869758</v>
      </c>
      <c r="F35" s="36">
        <v>48.308407053357257</v>
      </c>
      <c r="G35" s="53">
        <v>1066.7464032081227</v>
      </c>
      <c r="H35" s="47">
        <v>34.755868349239918</v>
      </c>
      <c r="I35" s="32" t="s">
        <v>246</v>
      </c>
      <c r="J35" s="45" t="s">
        <v>246</v>
      </c>
      <c r="K35" s="52" t="s">
        <v>246</v>
      </c>
      <c r="L35" s="30" t="s">
        <v>246</v>
      </c>
      <c r="M35" s="52" t="s">
        <v>246</v>
      </c>
      <c r="N35" s="45" t="s">
        <v>246</v>
      </c>
      <c r="O35" s="32" t="s">
        <v>246</v>
      </c>
      <c r="P35" s="45" t="s">
        <v>246</v>
      </c>
      <c r="Q35" s="52" t="s">
        <v>246</v>
      </c>
      <c r="R35" s="30" t="s">
        <v>246</v>
      </c>
      <c r="S35" s="53">
        <v>1111.6900328363602</v>
      </c>
      <c r="T35" s="47">
        <v>33.592817325664342</v>
      </c>
      <c r="U35" s="52" t="s">
        <v>246</v>
      </c>
      <c r="V35" s="60" t="s">
        <v>246</v>
      </c>
    </row>
    <row r="36" spans="1:22" x14ac:dyDescent="0.2">
      <c r="A36" s="18"/>
      <c r="B36" s="18" t="str">
        <f>VLOOKUP("&lt;Zeilentitel_7.2&gt;",Uebersetzungen!$B$3:$E$212,Uebersetzungen!$B$2+1,FALSE)</f>
        <v>Freie und gleichgestellte Berufe</v>
      </c>
      <c r="C36" s="29">
        <v>2954.6168063002151</v>
      </c>
      <c r="D36" s="45">
        <v>20.718263642941832</v>
      </c>
      <c r="E36" s="48">
        <v>635.57240454906957</v>
      </c>
      <c r="F36" s="36">
        <v>44.357009321863337</v>
      </c>
      <c r="G36" s="53">
        <v>976.07933249010102</v>
      </c>
      <c r="H36" s="47">
        <v>36.508464667907525</v>
      </c>
      <c r="I36" s="32" t="s">
        <v>246</v>
      </c>
      <c r="J36" s="45" t="s">
        <v>246</v>
      </c>
      <c r="K36" s="52" t="s">
        <v>246</v>
      </c>
      <c r="L36" s="30" t="s">
        <v>246</v>
      </c>
      <c r="M36" s="52" t="s">
        <v>246</v>
      </c>
      <c r="N36" s="45" t="s">
        <v>246</v>
      </c>
      <c r="O36" s="32" t="s">
        <v>246</v>
      </c>
      <c r="P36" s="45" t="s">
        <v>246</v>
      </c>
      <c r="Q36" s="52" t="s">
        <v>246</v>
      </c>
      <c r="R36" s="30" t="s">
        <v>246</v>
      </c>
      <c r="S36" s="53">
        <v>1342.9650692610442</v>
      </c>
      <c r="T36" s="47">
        <v>30.925439422856222</v>
      </c>
      <c r="U36" s="52" t="s">
        <v>246</v>
      </c>
      <c r="V36" s="60" t="s">
        <v>246</v>
      </c>
    </row>
    <row r="37" spans="1:22" x14ac:dyDescent="0.2">
      <c r="A37" s="18"/>
      <c r="B37" s="18" t="str">
        <f>VLOOKUP("&lt;Zeilentitel_7.3&gt;",Uebersetzungen!$B$3:$E$212,Uebersetzungen!$B$2+1,FALSE)</f>
        <v>Andere Selbstständige</v>
      </c>
      <c r="C37" s="29">
        <v>12636.193618091327</v>
      </c>
      <c r="D37" s="45">
        <v>9.9706743754828651</v>
      </c>
      <c r="E37" s="46">
        <v>3984.1364645106678</v>
      </c>
      <c r="F37" s="31">
        <v>18.09600957346855</v>
      </c>
      <c r="G37" s="52">
        <v>4276.9185738657834</v>
      </c>
      <c r="H37" s="45">
        <v>17.485905696989899</v>
      </c>
      <c r="I37" s="32" t="s">
        <v>246</v>
      </c>
      <c r="J37" s="45" t="s">
        <v>246</v>
      </c>
      <c r="K37" s="53">
        <v>421.30724210719325</v>
      </c>
      <c r="L37" s="34">
        <v>58.651387020724677</v>
      </c>
      <c r="M37" s="52" t="s">
        <v>246</v>
      </c>
      <c r="N37" s="45" t="s">
        <v>246</v>
      </c>
      <c r="O37" s="33" t="s">
        <v>246</v>
      </c>
      <c r="P37" s="47" t="s">
        <v>246</v>
      </c>
      <c r="Q37" s="52" t="s">
        <v>246</v>
      </c>
      <c r="R37" s="30" t="s">
        <v>246</v>
      </c>
      <c r="S37" s="52">
        <v>3699.5469794063151</v>
      </c>
      <c r="T37" s="45">
        <v>18.935124178896096</v>
      </c>
      <c r="U37" s="52" t="s">
        <v>246</v>
      </c>
      <c r="V37" s="60" t="s">
        <v>246</v>
      </c>
    </row>
    <row r="38" spans="1:22" x14ac:dyDescent="0.2">
      <c r="A38" s="18"/>
      <c r="B38" s="18" t="str">
        <f>VLOOKUP("&lt;Zeilentitel_7.4&gt;",Uebersetzungen!$B$3:$E$212,Uebersetzungen!$B$2+1,FALSE)</f>
        <v>Akademische Berufe und oberes Kader</v>
      </c>
      <c r="C38" s="29">
        <v>14768.99551936874</v>
      </c>
      <c r="D38" s="45">
        <v>8.9235268938045866</v>
      </c>
      <c r="E38" s="46">
        <v>4253.9434386832309</v>
      </c>
      <c r="F38" s="31">
        <v>17.165396754978122</v>
      </c>
      <c r="G38" s="52">
        <v>5237.2909545480243</v>
      </c>
      <c r="H38" s="45">
        <v>15.396445341486912</v>
      </c>
      <c r="I38" s="32" t="s">
        <v>246</v>
      </c>
      <c r="J38" s="45" t="s">
        <v>246</v>
      </c>
      <c r="K38" s="53">
        <v>295.81088599234113</v>
      </c>
      <c r="L38" s="34">
        <v>64.439325638581664</v>
      </c>
      <c r="M38" s="52" t="s">
        <v>246</v>
      </c>
      <c r="N38" s="45" t="s">
        <v>246</v>
      </c>
      <c r="O38" s="33" t="s">
        <v>246</v>
      </c>
      <c r="P38" s="47" t="s">
        <v>246</v>
      </c>
      <c r="Q38" s="52" t="s">
        <v>246</v>
      </c>
      <c r="R38" s="30" t="s">
        <v>246</v>
      </c>
      <c r="S38" s="52">
        <v>4803.5464129823813</v>
      </c>
      <c r="T38" s="45">
        <v>16.217313508703331</v>
      </c>
      <c r="U38" s="52" t="s">
        <v>246</v>
      </c>
      <c r="V38" s="60" t="s">
        <v>246</v>
      </c>
    </row>
    <row r="39" spans="1:22" x14ac:dyDescent="0.2">
      <c r="A39" s="18"/>
      <c r="B39" s="18" t="str">
        <f>VLOOKUP("&lt;Zeilentitel_7.5&gt;",Uebersetzungen!$B$3:$E$212,Uebersetzungen!$B$2+1,FALSE)</f>
        <v>Intermediäre Berufe</v>
      </c>
      <c r="C39" s="29">
        <v>31790.919442611823</v>
      </c>
      <c r="D39" s="45">
        <v>5.8999378246301628</v>
      </c>
      <c r="E39" s="46">
        <v>7701.4440701057192</v>
      </c>
      <c r="F39" s="31">
        <v>12.710745555598148</v>
      </c>
      <c r="G39" s="52">
        <v>11504.419955939751</v>
      </c>
      <c r="H39" s="45">
        <v>10.462985705749348</v>
      </c>
      <c r="I39" s="32" t="s">
        <v>246</v>
      </c>
      <c r="J39" s="45" t="s">
        <v>246</v>
      </c>
      <c r="K39" s="53">
        <v>1110.3771257908656</v>
      </c>
      <c r="L39" s="34">
        <v>36.006132451513828</v>
      </c>
      <c r="M39" s="52" t="s">
        <v>246</v>
      </c>
      <c r="N39" s="45" t="s">
        <v>246</v>
      </c>
      <c r="O39" s="33">
        <v>742.65224069564749</v>
      </c>
      <c r="P39" s="47">
        <v>44.63757882693033</v>
      </c>
      <c r="Q39" s="52" t="s">
        <v>246</v>
      </c>
      <c r="R39" s="30" t="s">
        <v>246</v>
      </c>
      <c r="S39" s="52">
        <v>10339.891538580207</v>
      </c>
      <c r="T39" s="45">
        <v>11.147221500653123</v>
      </c>
      <c r="U39" s="53">
        <v>252.12825523491085</v>
      </c>
      <c r="V39" s="59">
        <v>73.151029354811442</v>
      </c>
    </row>
    <row r="40" spans="1:22" x14ac:dyDescent="0.2">
      <c r="A40" s="18"/>
      <c r="B40" s="18" t="str">
        <f>VLOOKUP("&lt;Zeilentitel_7.6&gt;",Uebersetzungen!$B$3:$E$212,Uebersetzungen!$B$2+1,FALSE)</f>
        <v>Qualifizierte nichtmanuelle Berufe</v>
      </c>
      <c r="C40" s="29">
        <v>19687.931100661222</v>
      </c>
      <c r="D40" s="45">
        <v>7.8145678044516256</v>
      </c>
      <c r="E40" s="46">
        <v>5840.0040139442744</v>
      </c>
      <c r="F40" s="31">
        <v>14.772390319976491</v>
      </c>
      <c r="G40" s="52">
        <v>7860.0345758474114</v>
      </c>
      <c r="H40" s="45">
        <v>12.783516285161733</v>
      </c>
      <c r="I40" s="32" t="s">
        <v>246</v>
      </c>
      <c r="J40" s="45" t="s">
        <v>246</v>
      </c>
      <c r="K40" s="53">
        <v>621.54604827276387</v>
      </c>
      <c r="L40" s="34">
        <v>48.68063091243333</v>
      </c>
      <c r="M40" s="52" t="s">
        <v>246</v>
      </c>
      <c r="N40" s="45" t="s">
        <v>246</v>
      </c>
      <c r="O40" s="33">
        <v>291.00427722992634</v>
      </c>
      <c r="P40" s="47">
        <v>68.287497747088466</v>
      </c>
      <c r="Q40" s="52" t="s">
        <v>246</v>
      </c>
      <c r="R40" s="30" t="s">
        <v>246</v>
      </c>
      <c r="S40" s="52">
        <v>4864.6538559164755</v>
      </c>
      <c r="T40" s="45">
        <v>16.672807441923908</v>
      </c>
      <c r="U40" s="52" t="s">
        <v>246</v>
      </c>
      <c r="V40" s="60" t="s">
        <v>246</v>
      </c>
    </row>
    <row r="41" spans="1:22" x14ac:dyDescent="0.2">
      <c r="A41" s="18"/>
      <c r="B41" s="18" t="str">
        <f>VLOOKUP("&lt;Zeilentitel_7.7&gt;",Uebersetzungen!$B$3:$E$212,Uebersetzungen!$B$2+1,FALSE)</f>
        <v>Qualifizierte manuelle Berufe</v>
      </c>
      <c r="C41" s="29">
        <v>9484.8792043123303</v>
      </c>
      <c r="D41" s="45">
        <v>11.864977699035633</v>
      </c>
      <c r="E41" s="46">
        <v>2667.0667414954669</v>
      </c>
      <c r="F41" s="31">
        <v>22.532802161981362</v>
      </c>
      <c r="G41" s="52">
        <v>3683.7268443554603</v>
      </c>
      <c r="H41" s="45">
        <v>19.420513549164465</v>
      </c>
      <c r="I41" s="32" t="s">
        <v>246</v>
      </c>
      <c r="J41" s="45" t="s">
        <v>246</v>
      </c>
      <c r="K41" s="53" t="s">
        <v>246</v>
      </c>
      <c r="L41" s="34" t="s">
        <v>246</v>
      </c>
      <c r="M41" s="52" t="s">
        <v>246</v>
      </c>
      <c r="N41" s="45" t="s">
        <v>246</v>
      </c>
      <c r="O41" s="33">
        <v>277.30230011807544</v>
      </c>
      <c r="P41" s="47">
        <v>73.220970648665755</v>
      </c>
      <c r="Q41" s="52" t="s">
        <v>246</v>
      </c>
      <c r="R41" s="30" t="s">
        <v>246</v>
      </c>
      <c r="S41" s="52">
        <v>2677.2113286150256</v>
      </c>
      <c r="T41" s="45">
        <v>22.884184988966179</v>
      </c>
      <c r="U41" s="52" t="s">
        <v>246</v>
      </c>
      <c r="V41" s="60" t="s">
        <v>246</v>
      </c>
    </row>
    <row r="42" spans="1:22" x14ac:dyDescent="0.2">
      <c r="A42" s="18"/>
      <c r="B42" s="18" t="str">
        <f>VLOOKUP("&lt;Zeilentitel_7.8&gt;",Uebersetzungen!$B$3:$E$212,Uebersetzungen!$B$2+1,FALSE)</f>
        <v>Ungelernte Angestellte und Arbeiter/innen</v>
      </c>
      <c r="C42" s="29">
        <v>7868.3355356968295</v>
      </c>
      <c r="D42" s="45">
        <v>13.346655540716698</v>
      </c>
      <c r="E42" s="48">
        <v>654.69519268244392</v>
      </c>
      <c r="F42" s="36">
        <v>45.623600262989342</v>
      </c>
      <c r="G42" s="52">
        <v>4463.4243717127147</v>
      </c>
      <c r="H42" s="45">
        <v>17.783422454319737</v>
      </c>
      <c r="I42" s="32" t="s">
        <v>246</v>
      </c>
      <c r="J42" s="45" t="s">
        <v>246</v>
      </c>
      <c r="K42" s="53">
        <v>238.14717539756268</v>
      </c>
      <c r="L42" s="34">
        <v>78.918936157509918</v>
      </c>
      <c r="M42" s="52" t="s">
        <v>246</v>
      </c>
      <c r="N42" s="45" t="s">
        <v>246</v>
      </c>
      <c r="O42" s="33">
        <v>497.20969972272991</v>
      </c>
      <c r="P42" s="47">
        <v>56.359935085313225</v>
      </c>
      <c r="Q42" s="53">
        <v>238.01364151673954</v>
      </c>
      <c r="R42" s="34">
        <v>79.025615900898657</v>
      </c>
      <c r="S42" s="53">
        <v>1776.8454546646381</v>
      </c>
      <c r="T42" s="47">
        <v>28.87648573711466</v>
      </c>
      <c r="U42" s="52" t="s">
        <v>246</v>
      </c>
      <c r="V42" s="60" t="s">
        <v>246</v>
      </c>
    </row>
    <row r="43" spans="1:22" ht="14.25" customHeight="1" x14ac:dyDescent="0.2">
      <c r="A43" s="18"/>
      <c r="B43" s="18" t="str">
        <f>VLOOKUP("&lt;Zeilentitel_7.9&gt;",Uebersetzungen!$B$3:$E$212,Uebersetzungen!$B$2+1,FALSE)</f>
        <v>Lernende in dualer beruflicher Grundbildung (Lehrlinge)</v>
      </c>
      <c r="C43" s="29">
        <v>3201.5321721395999</v>
      </c>
      <c r="D43" s="45">
        <v>20.317967540486354</v>
      </c>
      <c r="E43" s="48">
        <v>1087.7605147745849</v>
      </c>
      <c r="F43" s="36">
        <v>34.749313988613508</v>
      </c>
      <c r="G43" s="53">
        <v>1329.0963489944947</v>
      </c>
      <c r="H43" s="47">
        <v>31.429068321751764</v>
      </c>
      <c r="I43" s="32" t="s">
        <v>246</v>
      </c>
      <c r="J43" s="45" t="s">
        <v>246</v>
      </c>
      <c r="K43" s="53">
        <v>225.74365971888119</v>
      </c>
      <c r="L43" s="34">
        <v>79.652842551910453</v>
      </c>
      <c r="M43" s="52" t="s">
        <v>246</v>
      </c>
      <c r="N43" s="45" t="s">
        <v>246</v>
      </c>
      <c r="O43" s="32" t="s">
        <v>246</v>
      </c>
      <c r="P43" s="45" t="s">
        <v>246</v>
      </c>
      <c r="Q43" s="52" t="s">
        <v>246</v>
      </c>
      <c r="R43" s="30" t="s">
        <v>246</v>
      </c>
      <c r="S43" s="53">
        <v>439.133883958208</v>
      </c>
      <c r="T43" s="47">
        <v>56.149513355333262</v>
      </c>
      <c r="U43" s="52" t="s">
        <v>246</v>
      </c>
      <c r="V43" s="60" t="s">
        <v>246</v>
      </c>
    </row>
    <row r="44" spans="1:22" ht="25.5" x14ac:dyDescent="0.2">
      <c r="A44" s="18"/>
      <c r="B44" s="18" t="str">
        <f>VLOOKUP("&lt;Zeilentitel_7.10&gt;",Uebersetzungen!$B$3:$E$212,Uebersetzungen!$B$2+1,FALSE)</f>
        <v>Nicht zuteilbare Erwerbstätige (fehlende oder unklare Basisdaten)</v>
      </c>
      <c r="C44" s="29">
        <v>2169.8068201438928</v>
      </c>
      <c r="D44" s="45">
        <v>25.542148859673866</v>
      </c>
      <c r="E44" s="48">
        <v>655.00202130314142</v>
      </c>
      <c r="F44" s="36">
        <v>44.33519079022183</v>
      </c>
      <c r="G44" s="53">
        <v>693.58104292019414</v>
      </c>
      <c r="H44" s="47">
        <v>44.482825984484826</v>
      </c>
      <c r="I44" s="32" t="s">
        <v>246</v>
      </c>
      <c r="J44" s="45" t="s">
        <v>246</v>
      </c>
      <c r="K44" s="52">
        <v>230.59939379651232</v>
      </c>
      <c r="L44" s="30">
        <v>89.577565290629963</v>
      </c>
      <c r="M44" s="52" t="s">
        <v>246</v>
      </c>
      <c r="N44" s="45" t="s">
        <v>246</v>
      </c>
      <c r="O44" s="32" t="s">
        <v>246</v>
      </c>
      <c r="P44" s="45" t="s">
        <v>246</v>
      </c>
      <c r="Q44" s="52" t="s">
        <v>246</v>
      </c>
      <c r="R44" s="30" t="s">
        <v>246</v>
      </c>
      <c r="S44" s="53">
        <v>346.07147653772904</v>
      </c>
      <c r="T44" s="47">
        <v>64.562347141949175</v>
      </c>
      <c r="U44" s="52" t="s">
        <v>246</v>
      </c>
      <c r="V44" s="60" t="s">
        <v>246</v>
      </c>
    </row>
    <row r="45" spans="1:22" x14ac:dyDescent="0.2">
      <c r="A45" s="19"/>
      <c r="B45" s="19" t="str">
        <f>VLOOKUP("&lt;Zeilentitel_7.11&gt;",Uebersetzungen!$B$3:$E$212,Uebersetzungen!$B$2+1,FALSE)</f>
        <v>Erwerbslose und Nichterwerbspersonen</v>
      </c>
      <c r="C45" s="29">
        <v>65470.394966079817</v>
      </c>
      <c r="D45" s="45">
        <v>3.4907975001966043</v>
      </c>
      <c r="E45" s="46">
        <v>21282.55123027743</v>
      </c>
      <c r="F45" s="31">
        <v>7.1940226984325468</v>
      </c>
      <c r="G45" s="52">
        <v>26170.281228762837</v>
      </c>
      <c r="H45" s="45">
        <v>6.465689869080494</v>
      </c>
      <c r="I45" s="32" t="s">
        <v>246</v>
      </c>
      <c r="J45" s="45" t="s">
        <v>246</v>
      </c>
      <c r="K45" s="52">
        <v>2142.4859479082029</v>
      </c>
      <c r="L45" s="30">
        <v>25.155326572795826</v>
      </c>
      <c r="M45" s="52" t="s">
        <v>246</v>
      </c>
      <c r="N45" s="45" t="s">
        <v>246</v>
      </c>
      <c r="O45" s="33">
        <v>1458.0733447590449</v>
      </c>
      <c r="P45" s="47">
        <v>31.914915415490896</v>
      </c>
      <c r="Q45" s="53">
        <v>460.14541182717932</v>
      </c>
      <c r="R45" s="34">
        <v>56.174287454173154</v>
      </c>
      <c r="S45" s="52">
        <v>13448.258827456993</v>
      </c>
      <c r="T45" s="45">
        <v>9.4869471869811246</v>
      </c>
      <c r="U45" s="53">
        <v>476.21672078587301</v>
      </c>
      <c r="V45" s="59">
        <v>51.625158051203769</v>
      </c>
    </row>
    <row r="46" spans="1:22" ht="13.5" customHeight="1" x14ac:dyDescent="0.2">
      <c r="A46" s="20" t="str">
        <f>VLOOKUP("&lt;Zeilentitel_8&gt;",Uebersetzungen!$B$3:$E$212,Uebersetzungen!$B$2+1,FALSE)</f>
        <v>Höchste abgeschlossene Ausbildung</v>
      </c>
      <c r="B46" s="20" t="str">
        <f>VLOOKUP("&lt;Zeilentitel_8.1&gt;",Uebersetzungen!$B$3:$E$212,Uebersetzungen!$B$2+1,FALSE)</f>
        <v>Ohne nachobligatorische Ausbildung</v>
      </c>
      <c r="C46" s="29">
        <v>35257.105825795799</v>
      </c>
      <c r="D46" s="45">
        <v>5.5602700259148792</v>
      </c>
      <c r="E46" s="46">
        <v>7474.3267298534556</v>
      </c>
      <c r="F46" s="31">
        <v>12.767544060042813</v>
      </c>
      <c r="G46" s="52">
        <v>17669.784127156661</v>
      </c>
      <c r="H46" s="45">
        <v>8.2986228142108942</v>
      </c>
      <c r="I46" s="32" t="s">
        <v>246</v>
      </c>
      <c r="J46" s="45" t="s">
        <v>246</v>
      </c>
      <c r="K46" s="52">
        <v>1575.988186255131</v>
      </c>
      <c r="L46" s="30">
        <v>30.167804963320116</v>
      </c>
      <c r="M46" s="52" t="s">
        <v>246</v>
      </c>
      <c r="N46" s="45" t="s">
        <v>246</v>
      </c>
      <c r="O46" s="33">
        <v>1887.617884384352</v>
      </c>
      <c r="P46" s="47">
        <v>28.30390466562465</v>
      </c>
      <c r="Q46" s="53">
        <v>516.69574216721151</v>
      </c>
      <c r="R46" s="34">
        <v>53.888337621297957</v>
      </c>
      <c r="S46" s="52">
        <v>5952.4539125087385</v>
      </c>
      <c r="T46" s="45">
        <v>15.046880723502767</v>
      </c>
      <c r="U46" s="53">
        <v>180.23924347024771</v>
      </c>
      <c r="V46" s="59">
        <v>86.496432438344272</v>
      </c>
    </row>
    <row r="47" spans="1:22" x14ac:dyDescent="0.2">
      <c r="A47" s="21"/>
      <c r="B47" s="21" t="str">
        <f>VLOOKUP("&lt;Zeilentitel_8.2&gt;",Uebersetzungen!$B$3:$E$212,Uebersetzungen!$B$2+1,FALSE)</f>
        <v>Sekundarstufe II</v>
      </c>
      <c r="C47" s="29">
        <v>79770.079363931509</v>
      </c>
      <c r="D47" s="45">
        <v>3.0314707120835216</v>
      </c>
      <c r="E47" s="46">
        <v>25823.812003660463</v>
      </c>
      <c r="F47" s="31">
        <v>6.5526691854574306</v>
      </c>
      <c r="G47" s="52">
        <v>29687.529646510782</v>
      </c>
      <c r="H47" s="45">
        <v>6.1091675199208533</v>
      </c>
      <c r="I47" s="32" t="s">
        <v>246</v>
      </c>
      <c r="J47" s="45" t="s">
        <v>246</v>
      </c>
      <c r="K47" s="52">
        <v>2385.8026744359313</v>
      </c>
      <c r="L47" s="30">
        <v>24.471210651377007</v>
      </c>
      <c r="M47" s="52" t="s">
        <v>246</v>
      </c>
      <c r="N47" s="45" t="s">
        <v>246</v>
      </c>
      <c r="O47" s="32">
        <v>1565.8206249148732</v>
      </c>
      <c r="P47" s="45">
        <v>30.680067177646567</v>
      </c>
      <c r="Q47" s="53">
        <v>218.58982049948747</v>
      </c>
      <c r="R47" s="34">
        <v>79.292030289028915</v>
      </c>
      <c r="S47" s="52">
        <v>19561.926498342036</v>
      </c>
      <c r="T47" s="45">
        <v>7.8970468311469819</v>
      </c>
      <c r="U47" s="53">
        <v>458.93123763397944</v>
      </c>
      <c r="V47" s="59">
        <v>53.621838403784587</v>
      </c>
    </row>
    <row r="48" spans="1:22" ht="13.5" thickBot="1" x14ac:dyDescent="0.25">
      <c r="A48" s="23"/>
      <c r="B48" s="23" t="str">
        <f>VLOOKUP("&lt;Zeilentitel_8.3&gt;",Uebersetzungen!$B$3:$E$212,Uebersetzungen!$B$2+1,FALSE)</f>
        <v>Tertiärstufe</v>
      </c>
      <c r="C48" s="37">
        <v>57959.814810273965</v>
      </c>
      <c r="D48" s="49">
        <v>3.860078779857917</v>
      </c>
      <c r="E48" s="50">
        <v>16000.390297500851</v>
      </c>
      <c r="F48" s="39">
        <v>8.511181151290522</v>
      </c>
      <c r="G48" s="54">
        <v>19904.285858977455</v>
      </c>
      <c r="H48" s="49">
        <v>7.6042943256844113</v>
      </c>
      <c r="I48" s="40" t="s">
        <v>246</v>
      </c>
      <c r="J48" s="49" t="s">
        <v>246</v>
      </c>
      <c r="K48" s="54">
        <v>1578.2707792301874</v>
      </c>
      <c r="L48" s="38">
        <v>29.334294468365322</v>
      </c>
      <c r="M48" s="54" t="s">
        <v>246</v>
      </c>
      <c r="N48" s="49" t="s">
        <v>246</v>
      </c>
      <c r="O48" s="41">
        <v>395.76210491160651</v>
      </c>
      <c r="P48" s="56">
        <v>61.642008529576565</v>
      </c>
      <c r="Q48" s="57">
        <v>439.11796923478096</v>
      </c>
      <c r="R48" s="42">
        <v>56.156567314213852</v>
      </c>
      <c r="S48" s="54">
        <v>19335.434449364609</v>
      </c>
      <c r="T48" s="49">
        <v>7.7705564741859501</v>
      </c>
      <c r="U48" s="57">
        <v>306.55335105447847</v>
      </c>
      <c r="V48" s="61">
        <v>64.426918230653243</v>
      </c>
    </row>
    <row r="49" spans="1:14" x14ac:dyDescent="0.2">
      <c r="A49" s="17"/>
      <c r="B49" s="10"/>
      <c r="C49" s="9"/>
      <c r="D49" s="11"/>
      <c r="E49" s="12"/>
      <c r="F49" s="13"/>
      <c r="G49" s="14"/>
      <c r="H49" s="13"/>
      <c r="I49" s="14"/>
      <c r="J49" s="13"/>
      <c r="K49" s="14"/>
      <c r="L49" s="14"/>
      <c r="M49" s="13"/>
      <c r="N49" s="14"/>
    </row>
    <row r="50" spans="1:14" x14ac:dyDescent="0.2">
      <c r="A50" s="15" t="str">
        <f>VLOOKUP("&lt;Legende_1&gt;",Uebersetzungen!$B$3:$E$212,Uebersetzungen!$B$2+1,FALSE)</f>
        <v>(): Extrapolation aufgrund von 49 oder weniger Beobachtungen. Die Resultate sind mit grosser Vorsicht zu interpretieren.</v>
      </c>
    </row>
    <row r="51" spans="1:14" x14ac:dyDescent="0.2">
      <c r="A51" s="15" t="str">
        <f>VLOOKUP("&lt;Legende_2&gt;",Uebersetzungen!$B$3:$E$212,Uebersetzungen!$B$2+1,FALSE)</f>
        <v>X: Extrapolation aufgrund von 4 oder weniger Beobachtungen. Die Resultate werden aus Gründen des Datenschutzes nicht publiziert.</v>
      </c>
    </row>
    <row r="52" spans="1:14" x14ac:dyDescent="0.2">
      <c r="A52" s="15" t="str">
        <f>VLOOKUP("&lt;Legende_3&gt;",Uebersetzungen!$B$3:$E$212,Uebersetzungen!$B$2+1,FALSE)</f>
        <v>Die Grundgesamtheit der Strukturerhebung enthält alle Personen der ständigen Wohnbevölkerung ab vollendetem 15. Altersjahr, die in Privathaushalten leben.</v>
      </c>
    </row>
    <row r="53" spans="1:14" x14ac:dyDescent="0.2">
      <c r="A53" s="15" t="str">
        <f>VLOOKUP("&lt;Legende_4&gt;",Uebersetzungen!$B$3:$E$212,Uebersetzungen!$B$2+1,FALSE)</f>
        <v>Aus der Grundgesamtheit ausgeschlossen wurden neben den Personen, die in Kollektivhaushalten leben, auch Diplomaten, internationale Funktionäre und deren Angehörige.</v>
      </c>
    </row>
    <row r="55" spans="1:14" x14ac:dyDescent="0.2">
      <c r="A55" s="1" t="str">
        <f>VLOOKUP("&lt;quelle_1&gt;",Uebersetzungen!$B$3:$E$212,Uebersetzungen!$B$2+1,FALSE)</f>
        <v>Quelle: BFS (Strukturerhebung)</v>
      </c>
    </row>
    <row r="56" spans="1:14" x14ac:dyDescent="0.2">
      <c r="A56" s="1" t="str">
        <f>VLOOKUP("&lt;aktualisierung&gt;",Uebersetzungen!$B$3:$E$212,Uebersetzungen!$B$2+1,FALSE)</f>
        <v>Letztmals aktualisiert am: 26.01.2024</v>
      </c>
    </row>
  </sheetData>
  <sheetProtection sheet="1" objects="1" scenarios="1"/>
  <mergeCells count="13">
    <mergeCell ref="U13:V13"/>
    <mergeCell ref="A15:B15"/>
    <mergeCell ref="Q13:R13"/>
    <mergeCell ref="S13:T13"/>
    <mergeCell ref="A7:B7"/>
    <mergeCell ref="K13:L13"/>
    <mergeCell ref="M13:N13"/>
    <mergeCell ref="O13:P13"/>
    <mergeCell ref="C13:D13"/>
    <mergeCell ref="E13:F13"/>
    <mergeCell ref="G13:H13"/>
    <mergeCell ref="I13:J13"/>
    <mergeCell ref="C12:V12"/>
  </mergeCells>
  <pageMargins left="0.7" right="0.7" top="0.78740157499999996" bottom="0.78740157499999996" header="0.3" footer="0.3"/>
  <pageSetup paperSize="9" orientation="portrait" r:id="rId1"/>
  <ignoredErrors>
    <ignoredError sqref="D14:G14 H14:I14 J14:K14 L14:N14 O14:R14 T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600075</xdr:colOff>
                    <xdr:row>1</xdr:row>
                    <xdr:rowOff>104775</xdr:rowOff>
                  </from>
                  <to>
                    <xdr:col>5</xdr:col>
                    <xdr:colOff>228600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600075</xdr:colOff>
                    <xdr:row>2</xdr:row>
                    <xdr:rowOff>95250</xdr:rowOff>
                  </from>
                  <to>
                    <xdr:col>5</xdr:col>
                    <xdr:colOff>600075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600075</xdr:colOff>
                    <xdr:row>3</xdr:row>
                    <xdr:rowOff>57150</xdr:rowOff>
                  </from>
                  <to>
                    <xdr:col>5</xdr:col>
                    <xdr:colOff>228600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workbookViewId="0"/>
  </sheetViews>
  <sheetFormatPr baseColWidth="10" defaultColWidth="12.5703125" defaultRowHeight="12.75" x14ac:dyDescent="0.2"/>
  <cols>
    <col min="1" max="1" width="8.5703125" style="69" bestFit="1" customWidth="1"/>
    <col min="2" max="2" width="16.7109375" style="69" bestFit="1" customWidth="1"/>
    <col min="3" max="3" width="52.85546875" style="77" bestFit="1" customWidth="1"/>
    <col min="4" max="4" width="55.85546875" style="77" bestFit="1" customWidth="1"/>
    <col min="5" max="5" width="53.42578125" style="77" customWidth="1"/>
    <col min="6" max="6" width="22.42578125" style="69" customWidth="1"/>
    <col min="7" max="8" width="12.5703125" style="69"/>
    <col min="9" max="9" width="37.7109375" style="69" customWidth="1"/>
    <col min="10" max="16384" width="12.5703125" style="69"/>
  </cols>
  <sheetData>
    <row r="1" spans="1:6" x14ac:dyDescent="0.2">
      <c r="A1" s="66" t="s">
        <v>55</v>
      </c>
      <c r="B1" s="66" t="s">
        <v>56</v>
      </c>
      <c r="C1" s="67" t="s">
        <v>57</v>
      </c>
      <c r="D1" s="67" t="s">
        <v>58</v>
      </c>
      <c r="E1" s="67" t="s">
        <v>59</v>
      </c>
      <c r="F1" s="68"/>
    </row>
    <row r="2" spans="1:6" ht="12.75" customHeight="1" x14ac:dyDescent="0.2">
      <c r="A2" s="70" t="s">
        <v>60</v>
      </c>
      <c r="B2" s="71">
        <v>1</v>
      </c>
      <c r="C2" s="72"/>
      <c r="D2" s="72"/>
      <c r="E2" s="72"/>
      <c r="F2" s="68"/>
    </row>
    <row r="3" spans="1:6" ht="12.75" customHeight="1" x14ac:dyDescent="0.2">
      <c r="A3" s="70"/>
      <c r="B3" s="73" t="s">
        <v>61</v>
      </c>
      <c r="C3" s="74" t="s">
        <v>62</v>
      </c>
      <c r="D3" s="74" t="s">
        <v>63</v>
      </c>
      <c r="E3" s="74" t="s">
        <v>64</v>
      </c>
      <c r="F3" s="68"/>
    </row>
    <row r="4" spans="1:6" ht="12.75" customHeight="1" x14ac:dyDescent="0.2">
      <c r="A4" s="70" t="s">
        <v>65</v>
      </c>
      <c r="B4" s="73" t="s">
        <v>66</v>
      </c>
      <c r="C4" s="75" t="s">
        <v>239</v>
      </c>
      <c r="D4" s="74" t="s">
        <v>240</v>
      </c>
      <c r="E4" s="74" t="s">
        <v>241</v>
      </c>
      <c r="F4" s="68"/>
    </row>
    <row r="5" spans="1:6" ht="12.75" customHeight="1" x14ac:dyDescent="0.2">
      <c r="A5" s="70"/>
      <c r="B5" s="73" t="s">
        <v>67</v>
      </c>
      <c r="C5" s="74" t="s">
        <v>68</v>
      </c>
      <c r="D5" s="74" t="s">
        <v>69</v>
      </c>
      <c r="E5" s="74" t="s">
        <v>70</v>
      </c>
      <c r="F5" s="68"/>
    </row>
    <row r="6" spans="1:6" ht="12.75" customHeight="1" x14ac:dyDescent="0.2">
      <c r="A6" s="70"/>
      <c r="B6" s="70"/>
      <c r="C6" s="70"/>
      <c r="D6" s="70"/>
      <c r="E6" s="70"/>
      <c r="F6" s="68"/>
    </row>
    <row r="7" spans="1:6" ht="12.75" customHeight="1" x14ac:dyDescent="0.2">
      <c r="A7" s="70" t="s">
        <v>71</v>
      </c>
      <c r="B7" s="73" t="s">
        <v>72</v>
      </c>
      <c r="C7" s="74" t="s">
        <v>0</v>
      </c>
      <c r="D7" s="74" t="s">
        <v>0</v>
      </c>
      <c r="E7" s="74" t="s">
        <v>73</v>
      </c>
      <c r="F7" s="68"/>
    </row>
    <row r="8" spans="1:6" ht="12.75" customHeight="1" x14ac:dyDescent="0.2">
      <c r="A8" s="70"/>
      <c r="B8" s="73" t="s">
        <v>74</v>
      </c>
      <c r="C8" s="74" t="s">
        <v>41</v>
      </c>
      <c r="D8" s="74" t="s">
        <v>75</v>
      </c>
      <c r="E8" s="74" t="s">
        <v>76</v>
      </c>
      <c r="F8" s="68"/>
    </row>
    <row r="9" spans="1:6" ht="12.75" customHeight="1" x14ac:dyDescent="0.2">
      <c r="A9" s="70"/>
      <c r="B9" s="73" t="s">
        <v>77</v>
      </c>
      <c r="C9" s="74" t="s">
        <v>40</v>
      </c>
      <c r="D9" s="74" t="s">
        <v>78</v>
      </c>
      <c r="E9" s="74" t="s">
        <v>79</v>
      </c>
      <c r="F9" s="68"/>
    </row>
    <row r="10" spans="1:6" ht="12.75" customHeight="1" x14ac:dyDescent="0.2">
      <c r="A10" s="70"/>
      <c r="B10" s="73" t="s">
        <v>80</v>
      </c>
      <c r="C10" s="74" t="s">
        <v>44</v>
      </c>
      <c r="D10" s="74" t="s">
        <v>228</v>
      </c>
      <c r="E10" s="74" t="s">
        <v>226</v>
      </c>
      <c r="F10" s="68"/>
    </row>
    <row r="11" spans="1:6" ht="12.75" customHeight="1" x14ac:dyDescent="0.2">
      <c r="A11" s="70"/>
      <c r="B11" s="73" t="s">
        <v>83</v>
      </c>
      <c r="C11" s="74" t="s">
        <v>42</v>
      </c>
      <c r="D11" s="74" t="s">
        <v>81</v>
      </c>
      <c r="E11" s="74" t="s">
        <v>82</v>
      </c>
      <c r="F11" s="68"/>
    </row>
    <row r="12" spans="1:6" ht="12.75" customHeight="1" x14ac:dyDescent="0.2">
      <c r="A12" s="70"/>
      <c r="B12" s="73" t="s">
        <v>86</v>
      </c>
      <c r="C12" s="74" t="s">
        <v>45</v>
      </c>
      <c r="D12" s="74" t="s">
        <v>84</v>
      </c>
      <c r="E12" s="74" t="s">
        <v>85</v>
      </c>
      <c r="F12" s="68"/>
    </row>
    <row r="13" spans="1:6" ht="12.75" customHeight="1" x14ac:dyDescent="0.2">
      <c r="A13" s="70"/>
      <c r="B13" s="73" t="s">
        <v>89</v>
      </c>
      <c r="C13" s="74" t="s">
        <v>43</v>
      </c>
      <c r="D13" s="74" t="s">
        <v>87</v>
      </c>
      <c r="E13" s="74" t="s">
        <v>88</v>
      </c>
      <c r="F13" s="68"/>
    </row>
    <row r="14" spans="1:6" ht="12.75" customHeight="1" x14ac:dyDescent="0.2">
      <c r="A14" s="70"/>
      <c r="B14" s="73" t="s">
        <v>92</v>
      </c>
      <c r="C14" s="74" t="s">
        <v>46</v>
      </c>
      <c r="D14" s="74" t="s">
        <v>90</v>
      </c>
      <c r="E14" s="74" t="s">
        <v>91</v>
      </c>
      <c r="F14" s="68"/>
    </row>
    <row r="15" spans="1:6" ht="12.75" customHeight="1" x14ac:dyDescent="0.2">
      <c r="A15" s="70"/>
      <c r="B15" s="73" t="s">
        <v>94</v>
      </c>
      <c r="C15" s="74" t="s">
        <v>47</v>
      </c>
      <c r="D15" s="74" t="s">
        <v>93</v>
      </c>
      <c r="E15" s="74" t="s">
        <v>227</v>
      </c>
      <c r="F15" s="68"/>
    </row>
    <row r="16" spans="1:6" ht="12.75" customHeight="1" x14ac:dyDescent="0.2">
      <c r="A16" s="70"/>
      <c r="B16" s="73" t="s">
        <v>124</v>
      </c>
      <c r="C16" s="74" t="s">
        <v>48</v>
      </c>
      <c r="D16" s="74" t="s">
        <v>95</v>
      </c>
      <c r="E16" s="74" t="s">
        <v>96</v>
      </c>
      <c r="F16" s="68"/>
    </row>
    <row r="17" spans="1:6" ht="12.75" customHeight="1" x14ac:dyDescent="0.2">
      <c r="A17" s="70"/>
      <c r="B17" s="70"/>
      <c r="C17" s="70"/>
      <c r="D17" s="70"/>
      <c r="E17" s="70"/>
      <c r="F17" s="68"/>
    </row>
    <row r="18" spans="1:6" ht="12.75" customHeight="1" x14ac:dyDescent="0.2">
      <c r="A18" s="70"/>
      <c r="B18" s="73" t="s">
        <v>122</v>
      </c>
      <c r="C18" s="74" t="s">
        <v>97</v>
      </c>
      <c r="D18" s="74" t="s">
        <v>98</v>
      </c>
      <c r="E18" s="74" t="s">
        <v>99</v>
      </c>
      <c r="F18" s="68"/>
    </row>
    <row r="19" spans="1:6" ht="12.75" customHeight="1" x14ac:dyDescent="0.2">
      <c r="A19" s="70"/>
      <c r="B19" s="73" t="s">
        <v>123</v>
      </c>
      <c r="C19" s="74" t="s">
        <v>100</v>
      </c>
      <c r="D19" s="74" t="s">
        <v>101</v>
      </c>
      <c r="E19" s="74" t="s">
        <v>102</v>
      </c>
      <c r="F19" s="68"/>
    </row>
    <row r="20" spans="1:6" ht="12.75" customHeight="1" x14ac:dyDescent="0.2">
      <c r="A20" s="70"/>
      <c r="B20" s="68"/>
      <c r="C20" s="76"/>
      <c r="D20" s="76"/>
      <c r="E20" s="76"/>
      <c r="F20" s="68"/>
    </row>
    <row r="21" spans="1:6" ht="12.75" customHeight="1" x14ac:dyDescent="0.2">
      <c r="A21" s="70" t="s">
        <v>65</v>
      </c>
      <c r="B21" s="69" t="s">
        <v>103</v>
      </c>
      <c r="C21" s="77" t="s">
        <v>0</v>
      </c>
      <c r="D21" s="77" t="s">
        <v>0</v>
      </c>
      <c r="E21" s="77" t="s">
        <v>73</v>
      </c>
      <c r="F21" s="68"/>
    </row>
    <row r="22" spans="1:6" ht="12.75" customHeight="1" x14ac:dyDescent="0.2">
      <c r="A22" s="68"/>
      <c r="B22" s="69" t="s">
        <v>104</v>
      </c>
      <c r="C22" s="77" t="s">
        <v>1</v>
      </c>
      <c r="D22" s="77" t="s">
        <v>137</v>
      </c>
      <c r="E22" s="77" t="s">
        <v>130</v>
      </c>
      <c r="F22" s="68"/>
    </row>
    <row r="23" spans="1:6" ht="12.75" customHeight="1" x14ac:dyDescent="0.2">
      <c r="A23" s="68"/>
      <c r="B23" s="69" t="s">
        <v>105</v>
      </c>
      <c r="C23" s="77" t="s">
        <v>4</v>
      </c>
      <c r="D23" s="77" t="s">
        <v>138</v>
      </c>
      <c r="E23" s="77" t="s">
        <v>131</v>
      </c>
      <c r="F23" s="68"/>
    </row>
    <row r="24" spans="1:6" ht="12.75" customHeight="1" x14ac:dyDescent="0.2">
      <c r="A24" s="68"/>
      <c r="B24" s="69" t="s">
        <v>106</v>
      </c>
      <c r="C24" s="77" t="s">
        <v>9</v>
      </c>
      <c r="D24" s="77" t="s">
        <v>139</v>
      </c>
      <c r="E24" s="77" t="s">
        <v>132</v>
      </c>
      <c r="F24" s="68"/>
    </row>
    <row r="25" spans="1:6" ht="12.75" customHeight="1" x14ac:dyDescent="0.2">
      <c r="A25" s="68"/>
      <c r="B25" s="69" t="s">
        <v>107</v>
      </c>
      <c r="C25" s="77" t="s">
        <v>13</v>
      </c>
      <c r="D25" s="77" t="s">
        <v>140</v>
      </c>
      <c r="E25" s="77" t="s">
        <v>133</v>
      </c>
      <c r="F25" s="68"/>
    </row>
    <row r="26" spans="1:6" ht="12.75" customHeight="1" x14ac:dyDescent="0.2">
      <c r="A26" s="68"/>
      <c r="B26" s="69" t="s">
        <v>108</v>
      </c>
      <c r="C26" s="77" t="s">
        <v>19</v>
      </c>
      <c r="D26" s="77" t="s">
        <v>141</v>
      </c>
      <c r="E26" s="77" t="s">
        <v>134</v>
      </c>
      <c r="F26" s="68"/>
    </row>
    <row r="27" spans="1:6" ht="12.75" customHeight="1" x14ac:dyDescent="0.2">
      <c r="A27" s="68"/>
      <c r="B27" s="69" t="s">
        <v>109</v>
      </c>
      <c r="C27" s="77" t="s">
        <v>50</v>
      </c>
      <c r="D27" s="77" t="s">
        <v>136</v>
      </c>
      <c r="E27" s="77" t="s">
        <v>135</v>
      </c>
      <c r="F27" s="68"/>
    </row>
    <row r="28" spans="1:6" ht="12.75" customHeight="1" x14ac:dyDescent="0.2">
      <c r="A28" s="68"/>
      <c r="B28" s="69" t="s">
        <v>110</v>
      </c>
      <c r="C28" s="77" t="s">
        <v>53</v>
      </c>
      <c r="D28" s="77" t="s">
        <v>143</v>
      </c>
      <c r="E28" s="77" t="s">
        <v>142</v>
      </c>
      <c r="F28" s="68"/>
    </row>
    <row r="29" spans="1:6" ht="12.75" customHeight="1" x14ac:dyDescent="0.2">
      <c r="A29" s="68"/>
      <c r="B29" s="68"/>
      <c r="C29" s="68"/>
      <c r="D29" s="68"/>
      <c r="E29" s="68"/>
      <c r="F29" s="68"/>
    </row>
    <row r="30" spans="1:6" ht="12.75" customHeight="1" x14ac:dyDescent="0.2">
      <c r="A30" s="68"/>
      <c r="B30" s="69" t="s">
        <v>144</v>
      </c>
      <c r="C30" s="77" t="s">
        <v>2</v>
      </c>
      <c r="D30" s="77" t="s">
        <v>229</v>
      </c>
      <c r="E30" s="77" t="s">
        <v>196</v>
      </c>
      <c r="F30" s="68"/>
    </row>
    <row r="31" spans="1:6" ht="12.75" customHeight="1" x14ac:dyDescent="0.2">
      <c r="A31" s="68"/>
      <c r="B31" s="69" t="s">
        <v>145</v>
      </c>
      <c r="C31" s="77" t="s">
        <v>3</v>
      </c>
      <c r="D31" s="77" t="s">
        <v>230</v>
      </c>
      <c r="E31" s="77" t="s">
        <v>197</v>
      </c>
      <c r="F31" s="68"/>
    </row>
    <row r="32" spans="1:6" x14ac:dyDescent="0.2">
      <c r="A32" s="68"/>
      <c r="B32" s="69" t="s">
        <v>146</v>
      </c>
      <c r="C32" s="77" t="s">
        <v>5</v>
      </c>
      <c r="D32" s="77" t="s">
        <v>5</v>
      </c>
      <c r="E32" s="77" t="s">
        <v>5</v>
      </c>
      <c r="F32" s="68"/>
    </row>
    <row r="33" spans="1:6" x14ac:dyDescent="0.2">
      <c r="A33" s="68"/>
      <c r="B33" s="69" t="s">
        <v>147</v>
      </c>
      <c r="C33" s="77" t="s">
        <v>6</v>
      </c>
      <c r="D33" s="77" t="s">
        <v>6</v>
      </c>
      <c r="E33" s="77" t="s">
        <v>6</v>
      </c>
      <c r="F33" s="68"/>
    </row>
    <row r="34" spans="1:6" x14ac:dyDescent="0.2">
      <c r="A34" s="68"/>
      <c r="B34" s="69" t="s">
        <v>148</v>
      </c>
      <c r="C34" s="77" t="s">
        <v>7</v>
      </c>
      <c r="D34" s="77" t="s">
        <v>7</v>
      </c>
      <c r="E34" s="77" t="s">
        <v>7</v>
      </c>
      <c r="F34" s="68"/>
    </row>
    <row r="35" spans="1:6" x14ac:dyDescent="0.2">
      <c r="A35" s="68"/>
      <c r="B35" s="69" t="s">
        <v>149</v>
      </c>
      <c r="C35" s="77" t="s">
        <v>8</v>
      </c>
      <c r="D35" s="77" t="s">
        <v>176</v>
      </c>
      <c r="E35" s="77" t="s">
        <v>198</v>
      </c>
      <c r="F35" s="68"/>
    </row>
    <row r="36" spans="1:6" x14ac:dyDescent="0.2">
      <c r="A36" s="68"/>
      <c r="B36" s="69" t="s">
        <v>150</v>
      </c>
      <c r="C36" s="77" t="s">
        <v>10</v>
      </c>
      <c r="D36" s="77" t="s">
        <v>177</v>
      </c>
      <c r="E36" s="77" t="s">
        <v>199</v>
      </c>
      <c r="F36" s="68"/>
    </row>
    <row r="37" spans="1:6" x14ac:dyDescent="0.2">
      <c r="A37" s="68"/>
      <c r="B37" s="69" t="s">
        <v>151</v>
      </c>
      <c r="C37" s="77" t="s">
        <v>49</v>
      </c>
      <c r="D37" s="77" t="s">
        <v>178</v>
      </c>
      <c r="E37" s="77" t="s">
        <v>200</v>
      </c>
      <c r="F37" s="68"/>
    </row>
    <row r="38" spans="1:6" x14ac:dyDescent="0.2">
      <c r="A38" s="68"/>
      <c r="B38" s="69" t="s">
        <v>152</v>
      </c>
      <c r="C38" s="77" t="s">
        <v>11</v>
      </c>
      <c r="D38" s="77" t="s">
        <v>179</v>
      </c>
      <c r="E38" s="77" t="s">
        <v>201</v>
      </c>
      <c r="F38" s="68"/>
    </row>
    <row r="39" spans="1:6" x14ac:dyDescent="0.2">
      <c r="A39" s="68"/>
      <c r="B39" s="69" t="s">
        <v>153</v>
      </c>
      <c r="C39" s="77" t="s">
        <v>12</v>
      </c>
      <c r="D39" s="77" t="s">
        <v>180</v>
      </c>
      <c r="E39" s="77" t="s">
        <v>202</v>
      </c>
      <c r="F39" s="68"/>
    </row>
    <row r="40" spans="1:6" x14ac:dyDescent="0.2">
      <c r="A40" s="68"/>
      <c r="B40" s="69" t="s">
        <v>154</v>
      </c>
      <c r="C40" s="77" t="s">
        <v>38</v>
      </c>
      <c r="D40" s="77" t="s">
        <v>181</v>
      </c>
      <c r="E40" s="77" t="s">
        <v>203</v>
      </c>
      <c r="F40" s="68"/>
    </row>
    <row r="41" spans="1:6" x14ac:dyDescent="0.2">
      <c r="A41" s="68"/>
      <c r="B41" s="73" t="s">
        <v>155</v>
      </c>
      <c r="C41" s="74" t="s">
        <v>14</v>
      </c>
      <c r="D41" s="74" t="s">
        <v>182</v>
      </c>
      <c r="E41" s="74" t="s">
        <v>204</v>
      </c>
      <c r="F41" s="68"/>
    </row>
    <row r="42" spans="1:6" x14ac:dyDescent="0.2">
      <c r="A42" s="68"/>
      <c r="B42" s="69" t="s">
        <v>156</v>
      </c>
      <c r="C42" s="77" t="s">
        <v>15</v>
      </c>
      <c r="D42" s="77" t="s">
        <v>183</v>
      </c>
      <c r="E42" s="77" t="s">
        <v>205</v>
      </c>
      <c r="F42" s="68"/>
    </row>
    <row r="43" spans="1:6" x14ac:dyDescent="0.2">
      <c r="A43" s="68"/>
      <c r="B43" s="69" t="s">
        <v>157</v>
      </c>
      <c r="C43" s="77" t="s">
        <v>16</v>
      </c>
      <c r="D43" s="77" t="s">
        <v>184</v>
      </c>
      <c r="E43" s="77" t="s">
        <v>206</v>
      </c>
      <c r="F43" s="68"/>
    </row>
    <row r="44" spans="1:6" x14ac:dyDescent="0.2">
      <c r="A44" s="68"/>
      <c r="B44" s="69" t="s">
        <v>158</v>
      </c>
      <c r="C44" s="77" t="s">
        <v>17</v>
      </c>
      <c r="D44" s="77" t="s">
        <v>185</v>
      </c>
      <c r="E44" s="77" t="s">
        <v>207</v>
      </c>
      <c r="F44" s="68"/>
    </row>
    <row r="45" spans="1:6" x14ac:dyDescent="0.2">
      <c r="A45" s="68"/>
      <c r="B45" s="69" t="s">
        <v>159</v>
      </c>
      <c r="C45" s="77" t="s">
        <v>18</v>
      </c>
      <c r="D45" s="77" t="s">
        <v>186</v>
      </c>
      <c r="E45" s="77" t="s">
        <v>208</v>
      </c>
      <c r="F45" s="68"/>
    </row>
    <row r="46" spans="1:6" x14ac:dyDescent="0.2">
      <c r="A46" s="68"/>
      <c r="B46" s="69" t="s">
        <v>160</v>
      </c>
      <c r="C46" s="77" t="s">
        <v>20</v>
      </c>
      <c r="D46" s="77" t="s">
        <v>231</v>
      </c>
      <c r="E46" s="77" t="s">
        <v>209</v>
      </c>
      <c r="F46" s="68"/>
    </row>
    <row r="47" spans="1:6" x14ac:dyDescent="0.2">
      <c r="A47" s="68"/>
      <c r="B47" s="69" t="s">
        <v>161</v>
      </c>
      <c r="C47" s="77" t="s">
        <v>21</v>
      </c>
      <c r="D47" s="77" t="s">
        <v>232</v>
      </c>
      <c r="E47" s="77" t="s">
        <v>210</v>
      </c>
      <c r="F47" s="68"/>
    </row>
    <row r="48" spans="1:6" x14ac:dyDescent="0.2">
      <c r="A48" s="68"/>
      <c r="B48" s="69" t="s">
        <v>162</v>
      </c>
      <c r="C48" s="77" t="s">
        <v>22</v>
      </c>
      <c r="D48" s="77" t="s">
        <v>232</v>
      </c>
      <c r="E48" s="77" t="s">
        <v>211</v>
      </c>
      <c r="F48" s="68"/>
    </row>
    <row r="49" spans="1:6" x14ac:dyDescent="0.2">
      <c r="A49" s="68"/>
      <c r="B49" s="69" t="s">
        <v>163</v>
      </c>
      <c r="C49" s="77" t="s">
        <v>23</v>
      </c>
      <c r="D49" s="77" t="s">
        <v>233</v>
      </c>
      <c r="E49" s="77" t="s">
        <v>212</v>
      </c>
      <c r="F49" s="68"/>
    </row>
    <row r="50" spans="1:6" x14ac:dyDescent="0.2">
      <c r="A50" s="68"/>
      <c r="B50" s="69" t="s">
        <v>164</v>
      </c>
      <c r="C50" s="77" t="s">
        <v>24</v>
      </c>
      <c r="D50" s="77" t="s">
        <v>187</v>
      </c>
      <c r="E50" s="77" t="s">
        <v>213</v>
      </c>
      <c r="F50" s="68"/>
    </row>
    <row r="51" spans="1:6" x14ac:dyDescent="0.2">
      <c r="A51" s="68"/>
      <c r="B51" s="69" t="s">
        <v>165</v>
      </c>
      <c r="C51" s="77" t="s">
        <v>25</v>
      </c>
      <c r="D51" s="77" t="s">
        <v>188</v>
      </c>
      <c r="E51" s="77" t="s">
        <v>214</v>
      </c>
      <c r="F51" s="68"/>
    </row>
    <row r="52" spans="1:6" x14ac:dyDescent="0.2">
      <c r="A52" s="68"/>
      <c r="B52" s="69" t="s">
        <v>166</v>
      </c>
      <c r="C52" s="77" t="s">
        <v>26</v>
      </c>
      <c r="D52" s="77" t="s">
        <v>189</v>
      </c>
      <c r="E52" s="77" t="s">
        <v>215</v>
      </c>
      <c r="F52" s="68"/>
    </row>
    <row r="53" spans="1:6" x14ac:dyDescent="0.2">
      <c r="A53" s="68"/>
      <c r="B53" s="69" t="s">
        <v>167</v>
      </c>
      <c r="C53" s="77" t="s">
        <v>27</v>
      </c>
      <c r="D53" s="77" t="s">
        <v>234</v>
      </c>
      <c r="E53" s="77" t="s">
        <v>216</v>
      </c>
      <c r="F53" s="68"/>
    </row>
    <row r="54" spans="1:6" x14ac:dyDescent="0.2">
      <c r="A54" s="68"/>
      <c r="B54" s="69" t="s">
        <v>168</v>
      </c>
      <c r="C54" s="77" t="s">
        <v>28</v>
      </c>
      <c r="D54" s="77" t="s">
        <v>190</v>
      </c>
      <c r="E54" s="77" t="s">
        <v>217</v>
      </c>
      <c r="F54" s="68"/>
    </row>
    <row r="55" spans="1:6" x14ac:dyDescent="0.2">
      <c r="A55" s="68"/>
      <c r="B55" s="69" t="s">
        <v>169</v>
      </c>
      <c r="C55" s="77" t="s">
        <v>29</v>
      </c>
      <c r="D55" s="77" t="s">
        <v>191</v>
      </c>
      <c r="E55" s="77" t="s">
        <v>218</v>
      </c>
      <c r="F55" s="68"/>
    </row>
    <row r="56" spans="1:6" x14ac:dyDescent="0.2">
      <c r="A56" s="68"/>
      <c r="B56" s="69" t="s">
        <v>170</v>
      </c>
      <c r="C56" s="77" t="s">
        <v>51</v>
      </c>
      <c r="D56" s="77" t="s">
        <v>192</v>
      </c>
      <c r="E56" s="77" t="s">
        <v>219</v>
      </c>
      <c r="F56" s="68"/>
    </row>
    <row r="57" spans="1:6" ht="25.5" x14ac:dyDescent="0.2">
      <c r="A57" s="68"/>
      <c r="B57" s="69" t="s">
        <v>171</v>
      </c>
      <c r="C57" s="77" t="s">
        <v>30</v>
      </c>
      <c r="D57" s="77" t="s">
        <v>193</v>
      </c>
      <c r="E57" s="77" t="s">
        <v>220</v>
      </c>
      <c r="F57" s="68"/>
    </row>
    <row r="58" spans="1:6" ht="25.5" x14ac:dyDescent="0.2">
      <c r="A58" s="68"/>
      <c r="B58" s="80" t="s">
        <v>242</v>
      </c>
      <c r="C58" s="77" t="s">
        <v>52</v>
      </c>
      <c r="D58" s="77" t="s">
        <v>194</v>
      </c>
      <c r="E58" s="77" t="s">
        <v>221</v>
      </c>
      <c r="F58" s="68"/>
    </row>
    <row r="59" spans="1:6" ht="25.5" x14ac:dyDescent="0.2">
      <c r="A59" s="68"/>
      <c r="B59" s="69" t="s">
        <v>172</v>
      </c>
      <c r="C59" s="77" t="s">
        <v>31</v>
      </c>
      <c r="D59" s="77" t="s">
        <v>235</v>
      </c>
      <c r="E59" s="77" t="s">
        <v>222</v>
      </c>
      <c r="F59" s="68"/>
    </row>
    <row r="60" spans="1:6" x14ac:dyDescent="0.2">
      <c r="A60" s="68"/>
      <c r="B60" s="69" t="s">
        <v>173</v>
      </c>
      <c r="C60" s="77" t="s">
        <v>54</v>
      </c>
      <c r="D60" s="77" t="s">
        <v>195</v>
      </c>
      <c r="E60" s="77" t="s">
        <v>223</v>
      </c>
      <c r="F60" s="68"/>
    </row>
    <row r="61" spans="1:6" x14ac:dyDescent="0.2">
      <c r="A61" s="68"/>
      <c r="B61" s="69" t="s">
        <v>174</v>
      </c>
      <c r="C61" s="77" t="s">
        <v>39</v>
      </c>
      <c r="D61" s="77" t="s">
        <v>236</v>
      </c>
      <c r="E61" s="77" t="s">
        <v>224</v>
      </c>
      <c r="F61" s="68"/>
    </row>
    <row r="62" spans="1:6" x14ac:dyDescent="0.2">
      <c r="A62" s="68"/>
      <c r="B62" s="69" t="s">
        <v>175</v>
      </c>
      <c r="C62" s="77" t="s">
        <v>32</v>
      </c>
      <c r="D62" s="77" t="s">
        <v>237</v>
      </c>
      <c r="E62" s="77" t="s">
        <v>225</v>
      </c>
      <c r="F62" s="68"/>
    </row>
    <row r="63" spans="1:6" x14ac:dyDescent="0.2">
      <c r="A63" s="68"/>
      <c r="B63" s="68"/>
      <c r="C63" s="76"/>
      <c r="D63" s="76"/>
      <c r="E63" s="76"/>
      <c r="F63" s="68"/>
    </row>
    <row r="64" spans="1:6" ht="38.25" x14ac:dyDescent="0.2">
      <c r="A64" s="70"/>
      <c r="B64" s="69" t="s">
        <v>111</v>
      </c>
      <c r="C64" s="77" t="s">
        <v>33</v>
      </c>
      <c r="D64" s="77" t="s">
        <v>115</v>
      </c>
      <c r="E64" s="77" t="s">
        <v>116</v>
      </c>
      <c r="F64" s="76"/>
    </row>
    <row r="65" spans="1:6" ht="38.25" x14ac:dyDescent="0.2">
      <c r="A65" s="68"/>
      <c r="B65" s="69" t="s">
        <v>112</v>
      </c>
      <c r="C65" s="77" t="s">
        <v>34</v>
      </c>
      <c r="D65" s="77" t="s">
        <v>127</v>
      </c>
      <c r="E65" s="77" t="s">
        <v>118</v>
      </c>
      <c r="F65" s="76"/>
    </row>
    <row r="66" spans="1:6" ht="51" x14ac:dyDescent="0.2">
      <c r="A66" s="68"/>
      <c r="B66" s="69" t="s">
        <v>113</v>
      </c>
      <c r="C66" s="77" t="s">
        <v>35</v>
      </c>
      <c r="D66" s="77" t="s">
        <v>128</v>
      </c>
      <c r="E66" s="77" t="s">
        <v>125</v>
      </c>
      <c r="F66" s="76"/>
    </row>
    <row r="67" spans="1:6" ht="38.25" x14ac:dyDescent="0.2">
      <c r="A67" s="68"/>
      <c r="B67" s="69" t="s">
        <v>114</v>
      </c>
      <c r="C67" s="77" t="s">
        <v>36</v>
      </c>
      <c r="D67" s="77" t="s">
        <v>129</v>
      </c>
      <c r="E67" s="77" t="s">
        <v>126</v>
      </c>
      <c r="F67" s="76"/>
    </row>
    <row r="68" spans="1:6" x14ac:dyDescent="0.2">
      <c r="A68" s="68"/>
      <c r="B68" s="69" t="s">
        <v>117</v>
      </c>
      <c r="F68" s="76"/>
    </row>
    <row r="69" spans="1:6" x14ac:dyDescent="0.2">
      <c r="A69" s="68"/>
      <c r="B69" s="68"/>
      <c r="C69" s="68"/>
      <c r="D69" s="68"/>
      <c r="E69" s="68"/>
      <c r="F69" s="76"/>
    </row>
    <row r="70" spans="1:6" x14ac:dyDescent="0.2">
      <c r="A70" s="68" t="s">
        <v>71</v>
      </c>
      <c r="B70" s="69" t="s">
        <v>119</v>
      </c>
      <c r="C70" s="77" t="s">
        <v>37</v>
      </c>
      <c r="D70" s="77" t="s">
        <v>120</v>
      </c>
      <c r="E70" s="74" t="s">
        <v>238</v>
      </c>
      <c r="F70" s="68"/>
    </row>
    <row r="71" spans="1:6" x14ac:dyDescent="0.2">
      <c r="A71" s="68" t="s">
        <v>65</v>
      </c>
      <c r="B71" s="78" t="s">
        <v>121</v>
      </c>
      <c r="C71" s="79" t="s">
        <v>243</v>
      </c>
      <c r="D71" s="79" t="s">
        <v>244</v>
      </c>
      <c r="E71" s="79" t="s">
        <v>245</v>
      </c>
      <c r="F71" s="68"/>
    </row>
    <row r="72" spans="1:6" x14ac:dyDescent="0.2">
      <c r="A72" s="68"/>
      <c r="B72" s="68"/>
      <c r="C72" s="76"/>
      <c r="D72" s="76"/>
      <c r="E72" s="76"/>
      <c r="F72" s="68"/>
    </row>
    <row r="73" spans="1:6" x14ac:dyDescent="0.2">
      <c r="A73" s="70"/>
      <c r="B73" s="71"/>
      <c r="C73" s="72"/>
      <c r="D73" s="72"/>
      <c r="E73" s="72"/>
      <c r="F73" s="68"/>
    </row>
    <row r="87" spans="7:7" x14ac:dyDescent="0.2">
      <c r="G87" s="73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1029</Benutzerdefinierte_x0020_ID>
    <Titel_RM xmlns="9d1f6504-c754-4527-a358-047ce8521f96">Enquista da structura da la populaziun – detagls concernent la religiun Grischun, 2022</Titel_RM>
    <Titel_DE xmlns="9d1f6504-c754-4527-a358-047ce8521f96">Strukturerhebung Bevölkerung - Details Religion Graubuenden, 2022</Titel_DE>
    <PublishingExpirationDate xmlns="http://schemas.microsoft.com/sharepoint/v3" xsi:nil="true"/>
    <Kategorie xmlns="9d1f6504-c754-4527-a358-047ce8521f96">Sprache, Religion</Kategorie>
    <PublishingStartDate xmlns="http://schemas.microsoft.com/sharepoint/v3" xsi:nil="true"/>
    <Titel_IT xmlns="9d1f6504-c754-4527-a358-047ce8521f96">Rilevazione strutturale della popolazione - dettagli religione nei Grigioni, 2022</Titel_IT>
  </documentManagement>
</p:properties>
</file>

<file path=customXml/itemProps1.xml><?xml version="1.0" encoding="utf-8"?>
<ds:datastoreItem xmlns:ds="http://schemas.openxmlformats.org/officeDocument/2006/customXml" ds:itemID="{F08D0F26-9FAC-4613-B1F9-BA2F89217E96}"/>
</file>

<file path=customXml/itemProps2.xml><?xml version="1.0" encoding="utf-8"?>
<ds:datastoreItem xmlns:ds="http://schemas.openxmlformats.org/officeDocument/2006/customXml" ds:itemID="{7DEB783D-7E02-41DA-A462-B23D439AF187}"/>
</file>

<file path=customXml/itemProps3.xml><?xml version="1.0" encoding="utf-8"?>
<ds:datastoreItem xmlns:ds="http://schemas.openxmlformats.org/officeDocument/2006/customXml" ds:itemID="{FC38A2AA-852B-4B09-8108-B54DBC3FDAA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Luzius.Stricker@awt.gr.ch</dc:creator>
  <cp:lastModifiedBy>Stricker Luzius</cp:lastModifiedBy>
  <dcterms:created xsi:type="dcterms:W3CDTF">2017-05-04T09:10:20Z</dcterms:created>
  <dcterms:modified xsi:type="dcterms:W3CDTF">2024-03-26T14:02:45Z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